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\Desktop\My Articles\"/>
    </mc:Choice>
  </mc:AlternateContent>
  <xr:revisionPtr revIDLastSave="0" documentId="8_{E9B6BE16-882E-421D-90C5-B09D94808AE6}" xr6:coauthVersionLast="47" xr6:coauthVersionMax="47" xr10:uidLastSave="{00000000-0000-0000-0000-000000000000}"/>
  <bookViews>
    <workbookView xWindow="-96" yWindow="-96" windowWidth="23232" windowHeight="12552" xr2:uid="{6610DD0E-ACB5-4636-8448-6F0F3DD1FE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1" l="1"/>
  <c r="E126" i="1"/>
  <c r="D122" i="1"/>
  <c r="G129" i="1"/>
  <c r="C49" i="1"/>
  <c r="F18" i="1"/>
  <c r="E10" i="1"/>
  <c r="G14" i="1"/>
  <c r="B18" i="1"/>
  <c r="A14" i="1"/>
  <c r="F114" i="1"/>
  <c r="F116" i="1" s="1"/>
  <c r="B114" i="1"/>
  <c r="B116" i="1" s="1"/>
  <c r="F106" i="1"/>
  <c r="F108" i="1" s="1"/>
  <c r="B106" i="1"/>
  <c r="B108" i="1" s="1"/>
  <c r="D126" i="1" l="1"/>
  <c r="E122" i="1"/>
  <c r="F129" i="1"/>
  <c r="B129" i="1"/>
  <c r="C95" i="1"/>
  <c r="H92" i="1" s="1"/>
  <c r="H91" i="1"/>
  <c r="H90" i="1"/>
  <c r="H88" i="1"/>
  <c r="H64" i="1"/>
  <c r="H65" i="1" s="1"/>
  <c r="C64" i="1"/>
  <c r="C98" i="1" l="1"/>
  <c r="C99" i="1" s="1"/>
  <c r="C100" i="1" s="1"/>
  <c r="H96" i="1"/>
  <c r="H97" i="1" s="1"/>
  <c r="H98" i="1" s="1"/>
  <c r="F113" i="1" s="1"/>
  <c r="F117" i="1" s="1"/>
  <c r="H99" i="1"/>
  <c r="C101" i="1"/>
  <c r="H72" i="1"/>
  <c r="H71" i="1"/>
  <c r="B113" i="1" l="1"/>
  <c r="B117" i="1" s="1"/>
  <c r="H95" i="1"/>
  <c r="H78" i="1"/>
  <c r="H81" i="1"/>
  <c r="H75" i="1"/>
  <c r="H76" i="1" s="1"/>
  <c r="H77" i="1" s="1"/>
  <c r="H83" i="1" l="1"/>
  <c r="I84" i="1" s="1"/>
  <c r="F105" i="1"/>
  <c r="F110" i="1" s="1"/>
  <c r="C72" i="1" l="1"/>
  <c r="C71" i="1"/>
  <c r="C59" i="1"/>
  <c r="C58" i="1"/>
  <c r="D56" i="1"/>
  <c r="J39" i="1"/>
  <c r="J38" i="1" s="1"/>
  <c r="C54" i="1" s="1"/>
  <c r="G20" i="1"/>
  <c r="B20" i="1"/>
  <c r="C55" i="1" l="1"/>
  <c r="C65" i="1"/>
  <c r="C81" i="1"/>
  <c r="C78" i="1"/>
  <c r="D60" i="1"/>
  <c r="B31" i="1"/>
  <c r="G31" i="1"/>
  <c r="J42" i="1"/>
  <c r="J40" i="1"/>
  <c r="J41" i="1" s="1"/>
  <c r="C75" i="1" l="1"/>
  <c r="C76" i="1" s="1"/>
  <c r="C77" i="1" s="1"/>
  <c r="J43" i="1"/>
  <c r="E31" i="1"/>
  <c r="C83" i="1" l="1"/>
  <c r="D84" i="1" s="1"/>
  <c r="B105" i="1"/>
  <c r="B110" i="1" s="1"/>
</calcChain>
</file>

<file path=xl/sharedStrings.xml><?xml version="1.0" encoding="utf-8"?>
<sst xmlns="http://schemas.openxmlformats.org/spreadsheetml/2006/main" count="249" uniqueCount="119">
  <si>
    <t>Structures Centre</t>
  </si>
  <si>
    <t xml:space="preserve">PROJECT: PROPOSED RESIDENTIAL DEVELOPMENT  </t>
  </si>
  <si>
    <t xml:space="preserve">JOB REF: </t>
  </si>
  <si>
    <t>SHEET NO: S01</t>
  </si>
  <si>
    <t xml:space="preserve">CALS: </t>
  </si>
  <si>
    <t>DATE:</t>
  </si>
  <si>
    <t xml:space="preserve">CHECKED:  </t>
  </si>
  <si>
    <t xml:space="preserve">APPROVED:  </t>
  </si>
  <si>
    <t xml:space="preserve">DATE: </t>
  </si>
  <si>
    <t xml:space="preserve">STRUCTURE: DESIGNING A STRAP FOUNDATION </t>
  </si>
  <si>
    <t>C.G</t>
  </si>
  <si>
    <t>C1</t>
  </si>
  <si>
    <t>C2</t>
  </si>
  <si>
    <t>F1</t>
  </si>
  <si>
    <t>F2</t>
  </si>
  <si>
    <t>mm</t>
  </si>
  <si>
    <r>
      <t>Variable Actions; Q</t>
    </r>
    <r>
      <rPr>
        <vertAlign val="subscript"/>
        <sz val="11"/>
        <color rgb="FF3F3F3F"/>
        <rFont val="Calibri"/>
        <family val="2"/>
        <scheme val="minor"/>
      </rPr>
      <t>k</t>
    </r>
  </si>
  <si>
    <r>
      <t>Column Length; h</t>
    </r>
    <r>
      <rPr>
        <vertAlign val="subscript"/>
        <sz val="11"/>
        <color rgb="FF3F3F3F"/>
        <rFont val="Calibri"/>
        <family val="2"/>
        <scheme val="minor"/>
      </rPr>
      <t>c</t>
    </r>
  </si>
  <si>
    <r>
      <t>Column width; b</t>
    </r>
    <r>
      <rPr>
        <vertAlign val="subscript"/>
        <sz val="11"/>
        <color rgb="FF3F3F3F"/>
        <rFont val="Calibri"/>
        <family val="2"/>
        <scheme val="minor"/>
      </rPr>
      <t>c</t>
    </r>
  </si>
  <si>
    <t xml:space="preserve">C2 </t>
  </si>
  <si>
    <t>COLUMN DATA</t>
  </si>
  <si>
    <t>Input</t>
  </si>
  <si>
    <t>Span between columns; L</t>
  </si>
  <si>
    <t xml:space="preserve">FOOTING PROPORTIONING </t>
  </si>
  <si>
    <t>Output</t>
  </si>
  <si>
    <t>kN</t>
  </si>
  <si>
    <t>Reaction on Base F2; R1</t>
  </si>
  <si>
    <t>Reaction on Base F1; R2</t>
  </si>
  <si>
    <t>Resultant on Bases ; R</t>
  </si>
  <si>
    <t>Location of resultant from F2; x</t>
  </si>
  <si>
    <t>Required width/length of F1</t>
  </si>
  <si>
    <t>BASE F1</t>
  </si>
  <si>
    <t>BASE F2</t>
  </si>
  <si>
    <r>
      <t>b</t>
    </r>
    <r>
      <rPr>
        <vertAlign val="subscript"/>
        <sz val="11"/>
        <color rgb="FF3F3F3F"/>
        <rFont val="Calibri"/>
        <family val="2"/>
        <scheme val="minor"/>
      </rPr>
      <t>1</t>
    </r>
  </si>
  <si>
    <r>
      <t>l</t>
    </r>
    <r>
      <rPr>
        <vertAlign val="subscript"/>
        <sz val="11"/>
        <color rgb="FF3F3F3F"/>
        <rFont val="Calibri"/>
        <family val="2"/>
        <scheme val="minor"/>
      </rPr>
      <t>1</t>
    </r>
  </si>
  <si>
    <r>
      <t>b</t>
    </r>
    <r>
      <rPr>
        <vertAlign val="subscript"/>
        <sz val="11"/>
        <color rgb="FF3F3F3F"/>
        <rFont val="Calibri"/>
        <family val="2"/>
        <scheme val="minor"/>
      </rPr>
      <t>2</t>
    </r>
  </si>
  <si>
    <r>
      <t>l</t>
    </r>
    <r>
      <rPr>
        <vertAlign val="subscript"/>
        <sz val="11"/>
        <color rgb="FF3F3F3F"/>
        <rFont val="Calibri"/>
        <family val="2"/>
        <scheme val="minor"/>
      </rPr>
      <t>2</t>
    </r>
  </si>
  <si>
    <r>
      <t>Required length of F2; l</t>
    </r>
    <r>
      <rPr>
        <vertAlign val="subscript"/>
        <sz val="11"/>
        <color rgb="FF3F3F3F"/>
        <rFont val="Calibri"/>
        <family val="2"/>
        <scheme val="minor"/>
      </rPr>
      <t>2</t>
    </r>
  </si>
  <si>
    <t>PRESSURE CHECK</t>
  </si>
  <si>
    <t>Pressure on Base F1</t>
  </si>
  <si>
    <t>Pressure on Base F2</t>
  </si>
  <si>
    <t>Result</t>
  </si>
  <si>
    <t xml:space="preserve">OVERTURNING CHECK </t>
  </si>
  <si>
    <r>
      <t>Overturning Moment; M</t>
    </r>
    <r>
      <rPr>
        <vertAlign val="subscript"/>
        <sz val="11"/>
        <color rgb="FF3F3F3F"/>
        <rFont val="Calibri"/>
        <family val="2"/>
        <scheme val="minor"/>
      </rPr>
      <t>o</t>
    </r>
  </si>
  <si>
    <t xml:space="preserve">MATERIAL PROPERTIES </t>
  </si>
  <si>
    <t>Mpa</t>
  </si>
  <si>
    <t xml:space="preserve">EQU PARTIAL FACTORS </t>
  </si>
  <si>
    <r>
      <t>γ</t>
    </r>
    <r>
      <rPr>
        <vertAlign val="subscript"/>
        <sz val="11"/>
        <color rgb="FF3F3F3F"/>
        <rFont val="Calibri"/>
        <family val="2"/>
        <scheme val="minor"/>
      </rPr>
      <t xml:space="preserve">g,unfav. </t>
    </r>
  </si>
  <si>
    <r>
      <t>γ</t>
    </r>
    <r>
      <rPr>
        <vertAlign val="subscript"/>
        <sz val="11"/>
        <color rgb="FF3F3F3F"/>
        <rFont val="Calibri"/>
        <family val="2"/>
        <scheme val="minor"/>
      </rPr>
      <t>q,unfav.</t>
    </r>
  </si>
  <si>
    <r>
      <t>γ</t>
    </r>
    <r>
      <rPr>
        <vertAlign val="subscript"/>
        <sz val="11"/>
        <color rgb="FF3F3F3F"/>
        <rFont val="Calibri"/>
        <family val="2"/>
        <scheme val="minor"/>
      </rPr>
      <t>g,fav</t>
    </r>
  </si>
  <si>
    <r>
      <t>γ</t>
    </r>
    <r>
      <rPr>
        <vertAlign val="subscript"/>
        <sz val="11"/>
        <color rgb="FF3F3F3F"/>
        <rFont val="Calibri"/>
        <family val="2"/>
        <scheme val="minor"/>
      </rPr>
      <t>q,fav.</t>
    </r>
  </si>
  <si>
    <t>STR PARTIAL FACTORS</t>
  </si>
  <si>
    <r>
      <t>Restoring Moment; M</t>
    </r>
    <r>
      <rPr>
        <vertAlign val="subscript"/>
        <sz val="11"/>
        <color rgb="FF3F3F3F"/>
        <rFont val="Calibri"/>
        <family val="2"/>
        <scheme val="minor"/>
      </rPr>
      <t>R</t>
    </r>
  </si>
  <si>
    <t>kN.m</t>
  </si>
  <si>
    <t>Overall depth of Base</t>
  </si>
  <si>
    <t>Tensile bar; Φ</t>
  </si>
  <si>
    <t>Compression bar; Φ'</t>
  </si>
  <si>
    <t>Cover to tensile bar; c</t>
  </si>
  <si>
    <t>Cover to compr. Bar c'</t>
  </si>
  <si>
    <t>Eff depth (tensile bar); d</t>
  </si>
  <si>
    <t>Eff depth (compr. bar); d</t>
  </si>
  <si>
    <t xml:space="preserve">Output </t>
  </si>
  <si>
    <t>k'</t>
  </si>
  <si>
    <t>k</t>
  </si>
  <si>
    <t>z</t>
  </si>
  <si>
    <t>mm2</t>
  </si>
  <si>
    <t xml:space="preserve">FLEXURAL DESIGN - BASE F1 </t>
  </si>
  <si>
    <t>FLEXURAL DESIGN - BASE F2</t>
  </si>
  <si>
    <r>
      <t>Design Shear Force; V</t>
    </r>
    <r>
      <rPr>
        <vertAlign val="subscript"/>
        <sz val="11"/>
        <color rgb="FF3F3F3F"/>
        <rFont val="Calibri"/>
        <family val="2"/>
        <scheme val="minor"/>
      </rPr>
      <t>Ed</t>
    </r>
  </si>
  <si>
    <r>
      <t>Design Axial Force; N</t>
    </r>
    <r>
      <rPr>
        <vertAlign val="subscript"/>
        <sz val="11"/>
        <color rgb="FF3F3F3F"/>
        <rFont val="Calibri"/>
        <family val="2"/>
        <scheme val="minor"/>
      </rPr>
      <t>Ed</t>
    </r>
  </si>
  <si>
    <t>Overall depth ; h</t>
  </si>
  <si>
    <t>Effective depth d;</t>
  </si>
  <si>
    <r>
      <t>N/mm</t>
    </r>
    <r>
      <rPr>
        <vertAlign val="superscript"/>
        <sz val="11"/>
        <color rgb="FF3F3F3F"/>
        <rFont val="Calibri"/>
        <family val="2"/>
        <scheme val="minor"/>
      </rPr>
      <t>2</t>
    </r>
  </si>
  <si>
    <t>Angle of Strut;  θ</t>
  </si>
  <si>
    <t>Cotθ</t>
  </si>
  <si>
    <t>Asv/Sv,req</t>
  </si>
  <si>
    <t>Asv/Sv,min</t>
  </si>
  <si>
    <t xml:space="preserve"> SHEAR DESIGN</t>
  </si>
  <si>
    <t>RESULT</t>
  </si>
  <si>
    <t>Pressure @ ULS</t>
  </si>
  <si>
    <r>
      <t>kN/m</t>
    </r>
    <r>
      <rPr>
        <vertAlign val="superscript"/>
        <sz val="11"/>
        <color rgb="FF3F3F3F"/>
        <rFont val="Calibri"/>
        <family val="2"/>
        <scheme val="minor"/>
      </rPr>
      <t>2</t>
    </r>
  </si>
  <si>
    <t xml:space="preserve">FLEXURAL DESIGN - STRAP BEAM </t>
  </si>
  <si>
    <t>SHEAR DESIGN - STRAP BEAM</t>
  </si>
  <si>
    <t xml:space="preserve">REBAR SUMMARY </t>
  </si>
  <si>
    <t>As,req; mm2</t>
  </si>
  <si>
    <t xml:space="preserve">Bar Size </t>
  </si>
  <si>
    <t>Spacing</t>
  </si>
  <si>
    <t xml:space="preserve">Spacing </t>
  </si>
  <si>
    <t>As,prov; mm2</t>
  </si>
  <si>
    <t>Bar Size</t>
  </si>
  <si>
    <t xml:space="preserve">STRAP BEAM </t>
  </si>
  <si>
    <r>
      <t>Width of Base F2 (Assumed) ; b</t>
    </r>
    <r>
      <rPr>
        <vertAlign val="subscript"/>
        <sz val="11"/>
        <color rgb="FF3F3F3F"/>
        <rFont val="Calibri"/>
        <family val="2"/>
        <scheme val="minor"/>
      </rPr>
      <t>2</t>
    </r>
  </si>
  <si>
    <t xml:space="preserve">Presumed bearing resistance </t>
  </si>
  <si>
    <r>
      <t xml:space="preserve"> Shear Strength; V</t>
    </r>
    <r>
      <rPr>
        <vertAlign val="subscript"/>
        <sz val="11"/>
        <color rgb="FF3F3F3F"/>
        <rFont val="Calibri"/>
        <family val="2"/>
        <scheme val="minor"/>
      </rPr>
      <t>Rd,c</t>
    </r>
    <r>
      <rPr>
        <sz val="11"/>
        <color rgb="FF3F3F3F"/>
        <rFont val="Calibri"/>
        <family val="2"/>
        <scheme val="minor"/>
      </rPr>
      <t xml:space="preserve"> </t>
    </r>
  </si>
  <si>
    <r>
      <t xml:space="preserve"> Shear Strength; V</t>
    </r>
    <r>
      <rPr>
        <vertAlign val="subscript"/>
        <sz val="11"/>
        <color rgb="FF3F3F3F"/>
        <rFont val="Calibri"/>
        <family val="2"/>
        <scheme val="minor"/>
      </rPr>
      <t xml:space="preserve">Rd,c </t>
    </r>
  </si>
  <si>
    <r>
      <t>Design Moment M</t>
    </r>
    <r>
      <rPr>
        <vertAlign val="subscript"/>
        <sz val="11"/>
        <color rgb="FF3F3F3F"/>
        <rFont val="Calibri"/>
        <family val="2"/>
        <scheme val="minor"/>
      </rPr>
      <t>Ed</t>
    </r>
    <r>
      <rPr>
        <sz val="11"/>
        <color rgb="FF3F3F3F"/>
        <rFont val="Calibri"/>
        <family val="2"/>
        <scheme val="minor"/>
      </rPr>
      <t xml:space="preserve"> </t>
    </r>
  </si>
  <si>
    <t>Overall depth of Beam; h</t>
  </si>
  <si>
    <t>Width of beam; b</t>
  </si>
  <si>
    <r>
      <t>mm</t>
    </r>
    <r>
      <rPr>
        <vertAlign val="superscript"/>
        <sz val="11"/>
        <color rgb="FF3F3F3F"/>
        <rFont val="Calibri"/>
        <family val="2"/>
        <scheme val="minor"/>
      </rPr>
      <t>2</t>
    </r>
  </si>
  <si>
    <t>Width of beam; bw</t>
  </si>
  <si>
    <t>As,req/sv</t>
  </si>
  <si>
    <t>As,prov/sv</t>
  </si>
  <si>
    <t xml:space="preserve">Links bar; </t>
  </si>
  <si>
    <t xml:space="preserve">Number </t>
  </si>
  <si>
    <t xml:space="preserve">Links </t>
  </si>
  <si>
    <r>
      <t>Permanent Actions; G</t>
    </r>
    <r>
      <rPr>
        <vertAlign val="subscript"/>
        <sz val="11"/>
        <color rgb="FF3F3F3F"/>
        <rFont val="Calibri"/>
        <family val="2"/>
        <scheme val="minor"/>
      </rPr>
      <t>k</t>
    </r>
  </si>
  <si>
    <r>
      <t>Concrete Strength;  f</t>
    </r>
    <r>
      <rPr>
        <vertAlign val="subscript"/>
        <sz val="11"/>
        <color rgb="FF3F3F3F"/>
        <rFont val="Calibri"/>
        <family val="2"/>
        <scheme val="minor"/>
      </rPr>
      <t>ck</t>
    </r>
  </si>
  <si>
    <r>
      <t>Steel Yield Strength; f</t>
    </r>
    <r>
      <rPr>
        <vertAlign val="subscript"/>
        <sz val="11"/>
        <color rgb="FF3F3F3F"/>
        <rFont val="Calibri"/>
        <family val="2"/>
        <scheme val="minor"/>
      </rPr>
      <t>yk</t>
    </r>
  </si>
  <si>
    <r>
      <t>γ</t>
    </r>
    <r>
      <rPr>
        <vertAlign val="subscript"/>
        <sz val="11"/>
        <color rgb="FF3F3F3F"/>
        <rFont val="Calibri"/>
        <family val="2"/>
        <scheme val="minor"/>
      </rPr>
      <t>g</t>
    </r>
  </si>
  <si>
    <r>
      <t>γ</t>
    </r>
    <r>
      <rPr>
        <vertAlign val="subscript"/>
        <sz val="11"/>
        <color rgb="FF3F3F3F"/>
        <rFont val="Calibri"/>
        <family val="2"/>
        <scheme val="minor"/>
      </rPr>
      <t>q</t>
    </r>
  </si>
  <si>
    <r>
      <t>Design Moment M</t>
    </r>
    <r>
      <rPr>
        <vertAlign val="subscript"/>
        <sz val="11"/>
        <color rgb="FF3F3F3F"/>
        <rFont val="Calibri"/>
        <family val="2"/>
        <scheme val="minor"/>
      </rPr>
      <t xml:space="preserve">Ed </t>
    </r>
  </si>
  <si>
    <r>
      <t>A</t>
    </r>
    <r>
      <rPr>
        <vertAlign val="subscript"/>
        <sz val="11"/>
        <color rgb="FF3F3F3F"/>
        <rFont val="Calibri"/>
        <family val="2"/>
        <scheme val="minor"/>
      </rPr>
      <t>st, req</t>
    </r>
  </si>
  <si>
    <r>
      <t>A</t>
    </r>
    <r>
      <rPr>
        <vertAlign val="subscript"/>
        <sz val="11"/>
        <color rgb="FF3F3F3F"/>
        <rFont val="Calibri"/>
        <family val="2"/>
        <scheme val="minor"/>
      </rPr>
      <t>st,min</t>
    </r>
  </si>
  <si>
    <r>
      <t>Shear Strength ; V</t>
    </r>
    <r>
      <rPr>
        <vertAlign val="subscript"/>
        <sz val="11"/>
        <color rgb="FF3F3F3F"/>
        <rFont val="Calibri"/>
        <family val="2"/>
        <scheme val="minor"/>
      </rPr>
      <t>Rd,c</t>
    </r>
    <r>
      <rPr>
        <sz val="11"/>
        <color rgb="FF3F3F3F"/>
        <rFont val="Calibri"/>
        <family val="2"/>
        <scheme val="minor"/>
      </rPr>
      <t xml:space="preserve"> </t>
    </r>
  </si>
  <si>
    <r>
      <t>mm</t>
    </r>
    <r>
      <rPr>
        <vertAlign val="superscript"/>
        <sz val="11"/>
        <color rgb="FF3F3F3F"/>
        <rFont val="Calibri"/>
        <family val="2"/>
        <scheme val="minor"/>
      </rPr>
      <t>2</t>
    </r>
    <r>
      <rPr>
        <sz val="11"/>
        <color rgb="FF3F3F3F"/>
        <rFont val="Calibri"/>
        <family val="2"/>
        <scheme val="minor"/>
      </rPr>
      <t>/m</t>
    </r>
  </si>
  <si>
    <t xml:space="preserve">mm </t>
  </si>
  <si>
    <t>Longitudinal Tensile Bar - TOP</t>
  </si>
  <si>
    <t>BASE F1 - BOTTOM</t>
  </si>
  <si>
    <t>BASE F2 - BOTTOM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</si>
</sst>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vertAlign val="subscript"/>
      <sz val="11"/>
      <color rgb="FF3F3F3F"/>
      <name val="Calibri"/>
      <family val="2"/>
      <scheme val="minor"/>
    </font>
    <font>
      <i/>
      <sz val="11"/>
      <color rgb="FF3F3F3F"/>
      <name val="Calibri"/>
      <family val="2"/>
      <scheme val="minor"/>
    </font>
    <font>
      <vertAlign val="superscript"/>
      <sz val="11"/>
      <color rgb="FF3F3F3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/>
      <bottom/>
      <diagonal/>
    </border>
    <border>
      <left/>
      <right style="thin">
        <color rgb="FF3F3F3F"/>
      </right>
      <top/>
      <bottom/>
      <diagonal/>
    </border>
    <border>
      <left/>
      <right/>
      <top/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/>
      <right style="thin">
        <color rgb="FF7F7F7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4" fillId="4" borderId="10" applyNumberFormat="0" applyAlignment="0" applyProtection="0"/>
    <xf numFmtId="0" fontId="2" fillId="5" borderId="11" applyNumberFormat="0" applyFont="0" applyAlignment="0" applyProtection="0"/>
  </cellStyleXfs>
  <cellXfs count="99">
    <xf numFmtId="0" fontId="0" fillId="0" borderId="0" xfId="0"/>
    <xf numFmtId="0" fontId="1" fillId="2" borderId="1" xfId="1" applyAlignment="1">
      <alignment vertical="center"/>
    </xf>
    <xf numFmtId="0" fontId="1" fillId="2" borderId="1" xfId="1"/>
    <xf numFmtId="0" fontId="6" fillId="2" borderId="12" xfId="1" applyFont="1" applyBorder="1" applyAlignment="1">
      <alignment horizontal="center"/>
    </xf>
    <xf numFmtId="0" fontId="6" fillId="2" borderId="14" xfId="1" applyFont="1" applyBorder="1" applyAlignment="1">
      <alignment horizontal="center"/>
    </xf>
    <xf numFmtId="0" fontId="4" fillId="4" borderId="10" xfId="3"/>
    <xf numFmtId="0" fontId="8" fillId="2" borderId="1" xfId="1" applyFont="1"/>
    <xf numFmtId="2" fontId="4" fillId="4" borderId="10" xfId="3" applyNumberFormat="1"/>
    <xf numFmtId="0" fontId="6" fillId="2" borderId="1" xfId="1" applyFont="1" applyAlignment="1">
      <alignment horizontal="center"/>
    </xf>
    <xf numFmtId="0" fontId="8" fillId="2" borderId="15" xfId="1" applyFont="1" applyBorder="1"/>
    <xf numFmtId="0" fontId="6" fillId="2" borderId="13" xfId="1" applyFont="1" applyBorder="1" applyAlignment="1"/>
    <xf numFmtId="0" fontId="6" fillId="2" borderId="14" xfId="1" applyFont="1" applyBorder="1" applyAlignment="1"/>
    <xf numFmtId="0" fontId="1" fillId="2" borderId="1" xfId="1" applyAlignment="1"/>
    <xf numFmtId="0" fontId="6" fillId="2" borderId="1" xfId="1" applyFont="1"/>
    <xf numFmtId="0" fontId="6" fillId="2" borderId="1" xfId="1" applyFont="1" applyAlignment="1"/>
    <xf numFmtId="0" fontId="1" fillId="2" borderId="12" xfId="1" applyBorder="1" applyAlignment="1"/>
    <xf numFmtId="0" fontId="4" fillId="4" borderId="10" xfId="3" applyAlignment="1"/>
    <xf numFmtId="0" fontId="3" fillId="3" borderId="1" xfId="2" applyBorder="1"/>
    <xf numFmtId="0" fontId="6" fillId="5" borderId="11" xfId="4" applyFont="1"/>
    <xf numFmtId="0" fontId="0" fillId="0" borderId="7" xfId="0" applyBorder="1"/>
    <xf numFmtId="0" fontId="6" fillId="2" borderId="1" xfId="1" applyFont="1" applyAlignment="1">
      <alignment horizontal="left"/>
    </xf>
    <xf numFmtId="2" fontId="6" fillId="2" borderId="1" xfId="1" applyNumberFormat="1" applyFont="1"/>
    <xf numFmtId="2" fontId="0" fillId="0" borderId="0" xfId="0" applyNumberFormat="1"/>
    <xf numFmtId="1" fontId="4" fillId="4" borderId="10" xfId="3" applyNumberFormat="1"/>
    <xf numFmtId="164" fontId="3" fillId="3" borderId="10" xfId="2" applyNumberFormat="1" applyBorder="1" applyAlignment="1"/>
    <xf numFmtId="164" fontId="3" fillId="3" borderId="10" xfId="2" applyNumberFormat="1" applyBorder="1"/>
    <xf numFmtId="1" fontId="3" fillId="3" borderId="10" xfId="2" applyNumberFormat="1" applyBorder="1"/>
    <xf numFmtId="2" fontId="3" fillId="3" borderId="1" xfId="2" applyNumberFormat="1" applyBorder="1" applyAlignment="1">
      <alignment horizontal="center"/>
    </xf>
    <xf numFmtId="2" fontId="3" fillId="3" borderId="1" xfId="2" applyNumberFormat="1" applyBorder="1"/>
    <xf numFmtId="0" fontId="3" fillId="3" borderId="1" xfId="2" applyBorder="1" applyAlignment="1"/>
    <xf numFmtId="2" fontId="3" fillId="3" borderId="1" xfId="2" applyNumberFormat="1" applyBorder="1" applyAlignment="1">
      <alignment horizontal="right"/>
    </xf>
    <xf numFmtId="0" fontId="6" fillId="5" borderId="11" xfId="4" applyFont="1" applyAlignment="1">
      <alignment horizontal="left"/>
    </xf>
    <xf numFmtId="0" fontId="3" fillId="3" borderId="1" xfId="2" applyBorder="1" applyAlignment="1">
      <alignment horizontal="center"/>
    </xf>
    <xf numFmtId="0" fontId="1" fillId="2" borderId="1" xfId="1" applyAlignment="1">
      <alignment horizontal="center"/>
    </xf>
    <xf numFmtId="164" fontId="3" fillId="3" borderId="1" xfId="2" applyNumberFormat="1" applyBorder="1"/>
    <xf numFmtId="1" fontId="3" fillId="3" borderId="1" xfId="2" applyNumberFormat="1" applyBorder="1"/>
    <xf numFmtId="0" fontId="4" fillId="4" borderId="10" xfId="3" applyAlignment="1">
      <alignment horizontal="center"/>
    </xf>
    <xf numFmtId="0" fontId="3" fillId="3" borderId="10" xfId="2" applyBorder="1" applyAlignment="1">
      <alignment horizontal="center"/>
    </xf>
    <xf numFmtId="0" fontId="6" fillId="2" borderId="15" xfId="1" applyFont="1" applyBorder="1"/>
    <xf numFmtId="0" fontId="6" fillId="2" borderId="17" xfId="1" applyFont="1" applyBorder="1" applyAlignment="1"/>
    <xf numFmtId="0" fontId="6" fillId="2" borderId="18" xfId="1" applyFont="1" applyBorder="1" applyAlignment="1"/>
    <xf numFmtId="0" fontId="3" fillId="3" borderId="0" xfId="2"/>
    <xf numFmtId="0" fontId="3" fillId="3" borderId="0" xfId="2" applyAlignment="1">
      <alignment horizontal="left"/>
    </xf>
    <xf numFmtId="1" fontId="3" fillId="3" borderId="0" xfId="2" applyNumberFormat="1" applyAlignment="1">
      <alignment horizontal="left" indent="3"/>
    </xf>
    <xf numFmtId="0" fontId="3" fillId="3" borderId="0" xfId="2" applyAlignment="1">
      <alignment horizontal="left" indent="5"/>
    </xf>
    <xf numFmtId="0" fontId="3" fillId="3" borderId="0" xfId="2" applyAlignment="1">
      <alignment horizontal="left" indent="3"/>
    </xf>
    <xf numFmtId="0" fontId="3" fillId="3" borderId="0" xfId="2" applyAlignment="1">
      <alignment horizontal="left" indent="6"/>
    </xf>
    <xf numFmtId="0" fontId="3" fillId="3" borderId="0" xfId="2" applyAlignment="1">
      <alignment horizontal="right" indent="1"/>
    </xf>
    <xf numFmtId="164" fontId="3" fillId="3" borderId="0" xfId="2" applyNumberFormat="1" applyAlignment="1">
      <alignment horizontal="left" indent="4"/>
    </xf>
    <xf numFmtId="164" fontId="3" fillId="3" borderId="0" xfId="2" applyNumberFormat="1" applyAlignment="1">
      <alignment horizontal="left"/>
    </xf>
    <xf numFmtId="164" fontId="3" fillId="3" borderId="0" xfId="2" applyNumberFormat="1" applyAlignment="1">
      <alignment horizontal="left" indent="1"/>
    </xf>
    <xf numFmtId="0" fontId="6" fillId="2" borderId="12" xfId="1" applyFont="1" applyBorder="1" applyAlignment="1">
      <alignment horizontal="center"/>
    </xf>
    <xf numFmtId="0" fontId="6" fillId="2" borderId="13" xfId="1" applyFont="1" applyBorder="1" applyAlignment="1">
      <alignment horizontal="center"/>
    </xf>
    <xf numFmtId="0" fontId="6" fillId="2" borderId="14" xfId="1" applyFont="1" applyBorder="1" applyAlignment="1">
      <alignment horizontal="center"/>
    </xf>
    <xf numFmtId="0" fontId="6" fillId="2" borderId="2" xfId="1" applyFont="1" applyBorder="1" applyAlignment="1">
      <alignment horizontal="center"/>
    </xf>
    <xf numFmtId="0" fontId="6" fillId="2" borderId="6" xfId="1" applyFont="1" applyBorder="1" applyAlignment="1">
      <alignment horizontal="center"/>
    </xf>
    <xf numFmtId="0" fontId="6" fillId="2" borderId="3" xfId="1" applyFont="1" applyBorder="1" applyAlignment="1">
      <alignment horizontal="center"/>
    </xf>
    <xf numFmtId="0" fontId="6" fillId="2" borderId="4" xfId="1" applyFont="1" applyBorder="1" applyAlignment="1">
      <alignment horizontal="center"/>
    </xf>
    <xf numFmtId="0" fontId="6" fillId="2" borderId="9" xfId="1" applyFont="1" applyBorder="1" applyAlignment="1">
      <alignment horizontal="center"/>
    </xf>
    <xf numFmtId="0" fontId="6" fillId="2" borderId="5" xfId="1" applyFont="1" applyBorder="1" applyAlignment="1">
      <alignment horizontal="center"/>
    </xf>
    <xf numFmtId="0" fontId="6" fillId="2" borderId="17" xfId="1" applyFont="1" applyBorder="1" applyAlignment="1">
      <alignment horizontal="center"/>
    </xf>
    <xf numFmtId="0" fontId="6" fillId="2" borderId="18" xfId="1" applyFont="1" applyBorder="1" applyAlignment="1">
      <alignment horizontal="center"/>
    </xf>
    <xf numFmtId="0" fontId="8" fillId="2" borderId="12" xfId="1" applyFont="1" applyBorder="1" applyAlignment="1">
      <alignment horizontal="center"/>
    </xf>
    <xf numFmtId="0" fontId="8" fillId="2" borderId="13" xfId="1" applyFont="1" applyBorder="1" applyAlignment="1">
      <alignment horizontal="center"/>
    </xf>
    <xf numFmtId="0" fontId="8" fillId="2" borderId="14" xfId="1" applyFont="1" applyBorder="1" applyAlignment="1">
      <alignment horizontal="center"/>
    </xf>
    <xf numFmtId="0" fontId="1" fillId="2" borderId="1" xfId="1" applyAlignment="1">
      <alignment horizontal="center"/>
    </xf>
    <xf numFmtId="0" fontId="3" fillId="3" borderId="0" xfId="2" applyAlignment="1">
      <alignment horizontal="center"/>
    </xf>
    <xf numFmtId="1" fontId="3" fillId="3" borderId="0" xfId="2" applyNumberFormat="1" applyAlignment="1">
      <alignment horizontal="right" indent="4"/>
    </xf>
    <xf numFmtId="0" fontId="6" fillId="2" borderId="1" xfId="1" applyFont="1" applyAlignment="1">
      <alignment horizontal="center"/>
    </xf>
    <xf numFmtId="0" fontId="5" fillId="2" borderId="12" xfId="1" applyFont="1" applyBorder="1" applyAlignment="1">
      <alignment horizontal="center"/>
    </xf>
    <xf numFmtId="0" fontId="5" fillId="2" borderId="13" xfId="1" applyFont="1" applyBorder="1" applyAlignment="1">
      <alignment horizontal="center"/>
    </xf>
    <xf numFmtId="0" fontId="5" fillId="2" borderId="14" xfId="1" applyFont="1" applyBorder="1" applyAlignment="1">
      <alignment horizontal="center"/>
    </xf>
    <xf numFmtId="0" fontId="8" fillId="2" borderId="1" xfId="1" applyFont="1" applyAlignment="1">
      <alignment horizontal="center"/>
    </xf>
    <xf numFmtId="0" fontId="1" fillId="2" borderId="12" xfId="1" applyBorder="1" applyAlignment="1">
      <alignment horizontal="center"/>
    </xf>
    <xf numFmtId="0" fontId="1" fillId="2" borderId="13" xfId="1" applyBorder="1" applyAlignment="1">
      <alignment horizontal="center"/>
    </xf>
    <xf numFmtId="0" fontId="1" fillId="2" borderId="14" xfId="1" applyBorder="1" applyAlignment="1">
      <alignment horizontal="center"/>
    </xf>
    <xf numFmtId="0" fontId="5" fillId="2" borderId="1" xfId="1" applyFont="1" applyAlignment="1">
      <alignment horizontal="center"/>
    </xf>
    <xf numFmtId="0" fontId="1" fillId="2" borderId="12" xfId="1" applyBorder="1" applyAlignment="1">
      <alignment horizontal="left"/>
    </xf>
    <xf numFmtId="0" fontId="1" fillId="2" borderId="13" xfId="1" applyBorder="1" applyAlignment="1">
      <alignment horizontal="left"/>
    </xf>
    <xf numFmtId="0" fontId="1" fillId="2" borderId="14" xfId="1" applyBorder="1" applyAlignment="1">
      <alignment horizontal="left"/>
    </xf>
    <xf numFmtId="0" fontId="1" fillId="2" borderId="7" xfId="1" applyBorder="1" applyAlignment="1">
      <alignment horizontal="left"/>
    </xf>
    <xf numFmtId="0" fontId="1" fillId="2" borderId="0" xfId="1" applyBorder="1" applyAlignment="1">
      <alignment horizontal="left"/>
    </xf>
    <xf numFmtId="0" fontId="1" fillId="2" borderId="8" xfId="1" applyBorder="1" applyAlignment="1">
      <alignment horizontal="left"/>
    </xf>
    <xf numFmtId="0" fontId="6" fillId="2" borderId="16" xfId="1" applyFont="1" applyBorder="1" applyAlignment="1">
      <alignment horizontal="center"/>
    </xf>
    <xf numFmtId="0" fontId="1" fillId="2" borderId="1" xfId="1"/>
    <xf numFmtId="0" fontId="1" fillId="2" borderId="1" xfId="1" applyAlignment="1">
      <alignment vertical="center"/>
    </xf>
    <xf numFmtId="0" fontId="1" fillId="2" borderId="2" xfId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0" fontId="1" fillId="2" borderId="4" xfId="1" applyBorder="1" applyAlignment="1">
      <alignment horizontal="center" vertical="center"/>
    </xf>
    <xf numFmtId="0" fontId="1" fillId="2" borderId="5" xfId="1" applyBorder="1" applyAlignment="1">
      <alignment horizontal="center" vertical="center"/>
    </xf>
    <xf numFmtId="0" fontId="1" fillId="2" borderId="2" xfId="1" applyBorder="1" applyAlignment="1">
      <alignment horizontal="center"/>
    </xf>
    <xf numFmtId="0" fontId="1" fillId="2" borderId="6" xfId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2" borderId="7" xfId="1" applyBorder="1" applyAlignment="1">
      <alignment horizontal="center"/>
    </xf>
    <xf numFmtId="0" fontId="1" fillId="2" borderId="0" xfId="1" applyBorder="1" applyAlignment="1">
      <alignment horizontal="center"/>
    </xf>
    <xf numFmtId="0" fontId="1" fillId="2" borderId="8" xfId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9" xfId="1" applyBorder="1" applyAlignment="1">
      <alignment horizontal="center"/>
    </xf>
    <xf numFmtId="0" fontId="1" fillId="2" borderId="5" xfId="1" applyBorder="1" applyAlignment="1">
      <alignment horizontal="center"/>
    </xf>
  </cellXfs>
  <cellStyles count="5">
    <cellStyle name="Input" xfId="3" builtinId="20"/>
    <cellStyle name="Neutral" xfId="2" builtinId="28"/>
    <cellStyle name="Normal" xfId="0" builtinId="0"/>
    <cellStyle name="Note" xfId="4" builtinId="1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441960</xdr:colOff>
      <xdr:row>0</xdr:row>
      <xdr:rowOff>29879</xdr:rowOff>
    </xdr:from>
    <xdr:to>
      <xdr:col>1</xdr:col>
      <xdr:colOff>692237</xdr:colOff>
      <xdr:row>5</xdr:row>
      <xdr:rowOff>176263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B1D6BC-A7E5-41C3-9DC7-8F1BF3DFF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29879"/>
          <a:ext cx="1074420" cy="106078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797351</xdr:colOff>
      <xdr:row>10</xdr:row>
      <xdr:rowOff>136769</xdr:rowOff>
    </xdr:from>
    <xdr:to>
      <xdr:col>2</xdr:col>
      <xdr:colOff>274948</xdr:colOff>
      <xdr:row>17</xdr:row>
      <xdr:rowOff>15240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5A6B1D8-CD3E-0612-B7E0-D254DD9ED485}"/>
            </a:ext>
          </a:extLst>
        </xdr:cNvPr>
        <xdr:cNvSpPr/>
      </xdr:nvSpPr>
      <xdr:spPr>
        <a:xfrm>
          <a:off x="797351" y="1982851"/>
          <a:ext cx="1268690" cy="117072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149257</xdr:colOff>
      <xdr:row>11</xdr:row>
      <xdr:rowOff>74629</xdr:rowOff>
    </xdr:from>
    <xdr:to>
      <xdr:col>6</xdr:col>
      <xdr:colOff>636397</xdr:colOff>
      <xdr:row>16</xdr:row>
      <xdr:rowOff>106053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46C941A7-0DA0-5CF0-F22A-A121EA613040}"/>
            </a:ext>
          </a:extLst>
        </xdr:cNvPr>
        <xdr:cNvSpPr/>
      </xdr:nvSpPr>
      <xdr:spPr>
        <a:xfrm>
          <a:off x="4084948" y="2105320"/>
          <a:ext cx="1127377" cy="95446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544560</xdr:colOff>
      <xdr:row>13</xdr:row>
      <xdr:rowOff>68943</xdr:rowOff>
    </xdr:from>
    <xdr:to>
      <xdr:col>6</xdr:col>
      <xdr:colOff>627743</xdr:colOff>
      <xdr:row>14</xdr:row>
      <xdr:rowOff>97971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6273ED3-05ED-0F1B-D41C-22BEED9849CD}"/>
            </a:ext>
          </a:extLst>
        </xdr:cNvPr>
        <xdr:cNvSpPr/>
      </xdr:nvSpPr>
      <xdr:spPr>
        <a:xfrm>
          <a:off x="1185333" y="2445382"/>
          <a:ext cx="3514107" cy="21183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</a:t>
          </a:r>
        </a:p>
      </xdr:txBody>
    </xdr:sp>
    <xdr:clientData/>
  </xdr:twoCellAnchor>
  <xdr:twoCellAnchor>
    <xdr:from>
      <xdr:col>1</xdr:col>
      <xdr:colOff>476251</xdr:colOff>
      <xdr:row>21</xdr:row>
      <xdr:rowOff>10886</xdr:rowOff>
    </xdr:from>
    <xdr:to>
      <xdr:col>1</xdr:col>
      <xdr:colOff>754144</xdr:colOff>
      <xdr:row>26</xdr:row>
      <xdr:rowOff>22795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F79E65EC-107B-5D8B-46B6-2D22499005E6}"/>
            </a:ext>
          </a:extLst>
        </xdr:cNvPr>
        <xdr:cNvSpPr/>
      </xdr:nvSpPr>
      <xdr:spPr>
        <a:xfrm>
          <a:off x="1300123" y="3840424"/>
          <a:ext cx="277893" cy="92370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513522</xdr:colOff>
      <xdr:row>20</xdr:row>
      <xdr:rowOff>163286</xdr:rowOff>
    </xdr:from>
    <xdr:to>
      <xdr:col>6</xdr:col>
      <xdr:colOff>629406</xdr:colOff>
      <xdr:row>26</xdr:row>
      <xdr:rowOff>9718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23745E95-ED07-4E89-A977-E63F231ECBE2}"/>
            </a:ext>
          </a:extLst>
        </xdr:cNvPr>
        <xdr:cNvSpPr/>
      </xdr:nvSpPr>
      <xdr:spPr>
        <a:xfrm>
          <a:off x="4251350" y="3456334"/>
          <a:ext cx="115884" cy="94411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612529</xdr:colOff>
      <xdr:row>20</xdr:row>
      <xdr:rowOff>13025</xdr:rowOff>
    </xdr:from>
    <xdr:to>
      <xdr:col>1</xdr:col>
      <xdr:colOff>615461</xdr:colOff>
      <xdr:row>22</xdr:row>
      <xdr:rowOff>149282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F4529A52-61EF-0E64-88CF-07D67B8D05EC}"/>
            </a:ext>
          </a:extLst>
        </xdr:cNvPr>
        <xdr:cNvCxnSpPr/>
      </xdr:nvCxnSpPr>
      <xdr:spPr>
        <a:xfrm flipH="1">
          <a:off x="1254042" y="3660204"/>
          <a:ext cx="2932" cy="50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576058</xdr:colOff>
      <xdr:row>20</xdr:row>
      <xdr:rowOff>14001</xdr:rowOff>
    </xdr:from>
    <xdr:to>
      <xdr:col>6</xdr:col>
      <xdr:colOff>578990</xdr:colOff>
      <xdr:row>22</xdr:row>
      <xdr:rowOff>150258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20EF3583-90E9-4425-957C-29591AF28FD3}"/>
            </a:ext>
          </a:extLst>
        </xdr:cNvPr>
        <xdr:cNvCxnSpPr/>
      </xdr:nvCxnSpPr>
      <xdr:spPr>
        <a:xfrm flipH="1">
          <a:off x="4316045" y="3296463"/>
          <a:ext cx="2932" cy="5009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309359</xdr:colOff>
      <xdr:row>27</xdr:row>
      <xdr:rowOff>86760</xdr:rowOff>
    </xdr:from>
    <xdr:to>
      <xdr:col>6</xdr:col>
      <xdr:colOff>310659</xdr:colOff>
      <xdr:row>29</xdr:row>
      <xdr:rowOff>148167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A39893FD-CC91-41D1-98BD-E22FAA3D9DBD}"/>
            </a:ext>
          </a:extLst>
        </xdr:cNvPr>
        <xdr:cNvCxnSpPr/>
      </xdr:nvCxnSpPr>
      <xdr:spPr>
        <a:xfrm flipV="1">
          <a:off x="4049346" y="4645734"/>
          <a:ext cx="1300" cy="426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611972</xdr:colOff>
      <xdr:row>27</xdr:row>
      <xdr:rowOff>87691</xdr:rowOff>
    </xdr:from>
    <xdr:to>
      <xdr:col>1</xdr:col>
      <xdr:colOff>613272</xdr:colOff>
      <xdr:row>29</xdr:row>
      <xdr:rowOff>149098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410E5AEA-63BC-40CA-BE53-7970299A2DFC}"/>
            </a:ext>
          </a:extLst>
        </xdr:cNvPr>
        <xdr:cNvCxnSpPr/>
      </xdr:nvCxnSpPr>
      <xdr:spPr>
        <a:xfrm flipV="1">
          <a:off x="1436774" y="5061625"/>
          <a:ext cx="1300" cy="4298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80293</xdr:colOff>
      <xdr:row>27</xdr:row>
      <xdr:rowOff>51916</xdr:rowOff>
    </xdr:from>
    <xdr:to>
      <xdr:col>4</xdr:col>
      <xdr:colOff>82058</xdr:colOff>
      <xdr:row>29</xdr:row>
      <xdr:rowOff>179479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55FD05A3-FC86-4202-AF15-0FAD4A78D0FE}"/>
            </a:ext>
          </a:extLst>
        </xdr:cNvPr>
        <xdr:cNvCxnSpPr/>
      </xdr:nvCxnSpPr>
      <xdr:spPr>
        <a:xfrm flipV="1">
          <a:off x="2544198" y="4982875"/>
          <a:ext cx="1765" cy="492819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518161</xdr:colOff>
      <xdr:row>13</xdr:row>
      <xdr:rowOff>80553</xdr:rowOff>
    </xdr:from>
    <xdr:to>
      <xdr:col>6</xdr:col>
      <xdr:colOff>636271</xdr:colOff>
      <xdr:row>14</xdr:row>
      <xdr:rowOff>76199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E422C743-9A42-42D7-9295-24C549F5DA48}"/>
            </a:ext>
          </a:extLst>
        </xdr:cNvPr>
        <xdr:cNvSpPr/>
      </xdr:nvSpPr>
      <xdr:spPr>
        <a:xfrm>
          <a:off x="4251961" y="2076267"/>
          <a:ext cx="118110" cy="177075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562832</xdr:colOff>
      <xdr:row>13</xdr:row>
      <xdr:rowOff>86492</xdr:rowOff>
    </xdr:from>
    <xdr:to>
      <xdr:col>1</xdr:col>
      <xdr:colOff>772197</xdr:colOff>
      <xdr:row>14</xdr:row>
      <xdr:rowOff>68722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ED26B85D-BBEC-48B4-95D7-C8BB0DFD43BF}"/>
            </a:ext>
          </a:extLst>
        </xdr:cNvPr>
        <xdr:cNvSpPr/>
      </xdr:nvSpPr>
      <xdr:spPr>
        <a:xfrm>
          <a:off x="1203605" y="2462931"/>
          <a:ext cx="209365" cy="165033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584638</xdr:colOff>
      <xdr:row>10</xdr:row>
      <xdr:rowOff>4380</xdr:rowOff>
    </xdr:from>
    <xdr:to>
      <xdr:col>6</xdr:col>
      <xdr:colOff>604345</xdr:colOff>
      <xdr:row>10</xdr:row>
      <xdr:rowOff>6569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75C17A1E-A5FA-F6CD-AD71-078CDE9D625D}"/>
            </a:ext>
          </a:extLst>
        </xdr:cNvPr>
        <xdr:cNvCxnSpPr/>
      </xdr:nvCxnSpPr>
      <xdr:spPr>
        <a:xfrm>
          <a:off x="1224017" y="1843690"/>
          <a:ext cx="3118069" cy="218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509788</xdr:colOff>
      <xdr:row>120</xdr:row>
      <xdr:rowOff>38100</xdr:rowOff>
    </xdr:from>
    <xdr:to>
      <xdr:col>1</xdr:col>
      <xdr:colOff>787681</xdr:colOff>
      <xdr:row>125</xdr:row>
      <xdr:rowOff>14127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454C0F9A-EF2F-4A35-97AC-31892D8E720F}"/>
            </a:ext>
          </a:extLst>
        </xdr:cNvPr>
        <xdr:cNvSpPr/>
      </xdr:nvSpPr>
      <xdr:spPr>
        <a:xfrm>
          <a:off x="1332748" y="24033480"/>
          <a:ext cx="277893" cy="89042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547059</xdr:colOff>
      <xdr:row>120</xdr:row>
      <xdr:rowOff>7620</xdr:rowOff>
    </xdr:from>
    <xdr:to>
      <xdr:col>6</xdr:col>
      <xdr:colOff>662943</xdr:colOff>
      <xdr:row>125</xdr:row>
      <xdr:rowOff>36932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CBF86714-E74D-45A0-B6E0-714C147092ED}"/>
            </a:ext>
          </a:extLst>
        </xdr:cNvPr>
        <xdr:cNvSpPr/>
      </xdr:nvSpPr>
      <xdr:spPr>
        <a:xfrm>
          <a:off x="5125572" y="23981312"/>
          <a:ext cx="115884" cy="94110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462308</xdr:colOff>
      <xdr:row>123</xdr:row>
      <xdr:rowOff>168577</xdr:rowOff>
    </xdr:from>
    <xdr:to>
      <xdr:col>4</xdr:col>
      <xdr:colOff>611303</xdr:colOff>
      <xdr:row>123</xdr:row>
      <xdr:rowOff>168577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5087ABEE-080F-4133-96B3-C2DF6BDA0775}"/>
            </a:ext>
          </a:extLst>
        </xdr:cNvPr>
        <xdr:cNvCxnSpPr/>
      </xdr:nvCxnSpPr>
      <xdr:spPr>
        <a:xfrm>
          <a:off x="2837705" y="24714342"/>
          <a:ext cx="789671" cy="0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454527</xdr:colOff>
      <xdr:row>125</xdr:row>
      <xdr:rowOff>103605</xdr:rowOff>
    </xdr:from>
    <xdr:to>
      <xdr:col>3</xdr:col>
      <xdr:colOff>397710</xdr:colOff>
      <xdr:row>125</xdr:row>
      <xdr:rowOff>103605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B0899F0B-AA38-EDBF-2641-A03D70FA5657}"/>
            </a:ext>
          </a:extLst>
        </xdr:cNvPr>
        <xdr:cNvCxnSpPr/>
      </xdr:nvCxnSpPr>
      <xdr:spPr>
        <a:xfrm flipH="1">
          <a:off x="2245895" y="25115921"/>
          <a:ext cx="52471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324184</xdr:colOff>
      <xdr:row>125</xdr:row>
      <xdr:rowOff>110289</xdr:rowOff>
    </xdr:from>
    <xdr:to>
      <xdr:col>5</xdr:col>
      <xdr:colOff>76869</xdr:colOff>
      <xdr:row>125</xdr:row>
      <xdr:rowOff>113631</xdr:rowOff>
    </xdr:to>
    <xdr:cxnSp macro="">
      <xdr:nvCxnSpPr>
        <xdr:cNvPr id="52" name="Straight Arrow Connector 51">
          <a:extLst>
            <a:ext uri="{FF2B5EF4-FFF2-40B4-BE49-F238E27FC236}">
              <a16:creationId xmlns:a16="http://schemas.microsoft.com/office/drawing/2014/main" id="{31331C97-EB7E-4A8E-8680-CFF29517B6D9}"/>
            </a:ext>
          </a:extLst>
        </xdr:cNvPr>
        <xdr:cNvCxnSpPr/>
      </xdr:nvCxnSpPr>
      <xdr:spPr>
        <a:xfrm flipV="1">
          <a:off x="3338763" y="25122605"/>
          <a:ext cx="675106" cy="3342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752232</xdr:colOff>
      <xdr:row>24</xdr:row>
      <xdr:rowOff>100950</xdr:rowOff>
    </xdr:from>
    <xdr:to>
      <xdr:col>6</xdr:col>
      <xdr:colOff>511257</xdr:colOff>
      <xdr:row>27</xdr:row>
      <xdr:rowOff>55359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ABAB3486-9682-430B-A551-6AF866EDEF0C}"/>
            </a:ext>
          </a:extLst>
        </xdr:cNvPr>
        <xdr:cNvSpPr/>
      </xdr:nvSpPr>
      <xdr:spPr>
        <a:xfrm>
          <a:off x="1576104" y="4477565"/>
          <a:ext cx="3513666" cy="50148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                                         C.G</a:t>
          </a:r>
        </a:p>
      </xdr:txBody>
    </xdr:sp>
    <xdr:clientData/>
  </xdr:twoCellAnchor>
  <xdr:twoCellAnchor>
    <xdr:from>
      <xdr:col>1</xdr:col>
      <xdr:colOff>60475</xdr:colOff>
      <xdr:row>25</xdr:row>
      <xdr:rowOff>165098</xdr:rowOff>
    </xdr:from>
    <xdr:to>
      <xdr:col>2</xdr:col>
      <xdr:colOff>276795</xdr:colOff>
      <xdr:row>27</xdr:row>
      <xdr:rowOff>68386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5CB696CF-D7C0-458A-A079-1E8E9B1A6890}"/>
            </a:ext>
          </a:extLst>
        </xdr:cNvPr>
        <xdr:cNvSpPr/>
      </xdr:nvSpPr>
      <xdr:spPr>
        <a:xfrm>
          <a:off x="884347" y="4724072"/>
          <a:ext cx="1183474" cy="2680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178599</xdr:colOff>
      <xdr:row>25</xdr:row>
      <xdr:rowOff>180740</xdr:rowOff>
    </xdr:from>
    <xdr:to>
      <xdr:col>6</xdr:col>
      <xdr:colOff>659247</xdr:colOff>
      <xdr:row>27</xdr:row>
      <xdr:rowOff>79517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0CABF0E7-2F6D-47CA-81CA-749165ADE7BA}"/>
            </a:ext>
          </a:extLst>
        </xdr:cNvPr>
        <xdr:cNvSpPr/>
      </xdr:nvSpPr>
      <xdr:spPr>
        <a:xfrm>
          <a:off x="4115599" y="4739714"/>
          <a:ext cx="1122161" cy="26349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478692</xdr:colOff>
      <xdr:row>13</xdr:row>
      <xdr:rowOff>64946</xdr:rowOff>
    </xdr:from>
    <xdr:to>
      <xdr:col>4</xdr:col>
      <xdr:colOff>209067</xdr:colOff>
      <xdr:row>14</xdr:row>
      <xdr:rowOff>181317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CB53E714-54D5-BB7E-5331-76979DBE5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2615" y="2435613"/>
          <a:ext cx="371888" cy="298730"/>
        </a:xfrm>
        <a:prstGeom prst="rect">
          <a:avLst/>
        </a:prstGeom>
      </xdr:spPr>
    </xdr:pic>
    <xdr:clientData/>
  </xdr:twoCellAnchor>
  <xdr:twoCellAnchor>
    <xdr:from>
      <xdr:col>1</xdr:col>
      <xdr:colOff>791159</xdr:colOff>
      <xdr:row>123</xdr:row>
      <xdr:rowOff>119837</xdr:rowOff>
    </xdr:from>
    <xdr:to>
      <xdr:col>6</xdr:col>
      <xdr:colOff>546229</xdr:colOff>
      <xdr:row>126</xdr:row>
      <xdr:rowOff>48598</xdr:rowOff>
    </xdr:to>
    <xdr:sp macro="" textlink="">
      <xdr:nvSpPr>
        <xdr:cNvPr id="65" name="Rectangle 64">
          <a:extLst>
            <a:ext uri="{FF2B5EF4-FFF2-40B4-BE49-F238E27FC236}">
              <a16:creationId xmlns:a16="http://schemas.microsoft.com/office/drawing/2014/main" id="{83E1A178-AB93-4CA7-B1BC-8AB6278B7CBE}"/>
            </a:ext>
          </a:extLst>
        </xdr:cNvPr>
        <xdr:cNvSpPr/>
      </xdr:nvSpPr>
      <xdr:spPr>
        <a:xfrm>
          <a:off x="1613419" y="24667123"/>
          <a:ext cx="3506754" cy="47693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20053</xdr:colOff>
      <xdr:row>124</xdr:row>
      <xdr:rowOff>171840</xdr:rowOff>
    </xdr:from>
    <xdr:to>
      <xdr:col>2</xdr:col>
      <xdr:colOff>322065</xdr:colOff>
      <xdr:row>126</xdr:row>
      <xdr:rowOff>74763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A7425C19-FCA3-4101-9F62-74288A857572}"/>
            </a:ext>
          </a:extLst>
        </xdr:cNvPr>
        <xdr:cNvSpPr/>
      </xdr:nvSpPr>
      <xdr:spPr>
        <a:xfrm>
          <a:off x="842211" y="24081261"/>
          <a:ext cx="1271222" cy="27055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184994</xdr:colOff>
      <xdr:row>124</xdr:row>
      <xdr:rowOff>154435</xdr:rowOff>
    </xdr:from>
    <xdr:to>
      <xdr:col>6</xdr:col>
      <xdr:colOff>665642</xdr:colOff>
      <xdr:row>126</xdr:row>
      <xdr:rowOff>52847</xdr:rowOff>
    </xdr:to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CAC70348-C290-4740-800D-7D15AAD5C2DD}"/>
            </a:ext>
          </a:extLst>
        </xdr:cNvPr>
        <xdr:cNvSpPr/>
      </xdr:nvSpPr>
      <xdr:spPr>
        <a:xfrm>
          <a:off x="4119978" y="24947657"/>
          <a:ext cx="1121696" cy="2653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880937</xdr:colOff>
      <xdr:row>126</xdr:row>
      <xdr:rowOff>20159</xdr:rowOff>
    </xdr:from>
    <xdr:to>
      <xdr:col>1</xdr:col>
      <xdr:colOff>881564</xdr:colOff>
      <xdr:row>128</xdr:row>
      <xdr:rowOff>5842</xdr:rowOff>
    </xdr:to>
    <xdr:cxnSp macro="">
      <xdr:nvCxnSpPr>
        <xdr:cNvPr id="68" name="Straight Arrow Connector 67">
          <a:extLst>
            <a:ext uri="{FF2B5EF4-FFF2-40B4-BE49-F238E27FC236}">
              <a16:creationId xmlns:a16="http://schemas.microsoft.com/office/drawing/2014/main" id="{A6C0E39E-8E9E-4D15-AF20-37D9A06432D6}"/>
            </a:ext>
          </a:extLst>
        </xdr:cNvPr>
        <xdr:cNvCxnSpPr/>
      </xdr:nvCxnSpPr>
      <xdr:spPr>
        <a:xfrm flipH="1" flipV="1">
          <a:off x="1703413" y="25180270"/>
          <a:ext cx="627" cy="352572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46653</xdr:colOff>
      <xdr:row>126</xdr:row>
      <xdr:rowOff>4148</xdr:rowOff>
    </xdr:from>
    <xdr:to>
      <xdr:col>6</xdr:col>
      <xdr:colOff>47641</xdr:colOff>
      <xdr:row>128</xdr:row>
      <xdr:rowOff>35779</xdr:rowOff>
    </xdr:to>
    <xdr:cxnSp macro="">
      <xdr:nvCxnSpPr>
        <xdr:cNvPr id="72" name="Straight Arrow Connector 71">
          <a:extLst>
            <a:ext uri="{FF2B5EF4-FFF2-40B4-BE49-F238E27FC236}">
              <a16:creationId xmlns:a16="http://schemas.microsoft.com/office/drawing/2014/main" id="{C7EA9045-2F0A-444A-9745-D75C668451EB}"/>
            </a:ext>
          </a:extLst>
        </xdr:cNvPr>
        <xdr:cNvCxnSpPr/>
      </xdr:nvCxnSpPr>
      <xdr:spPr>
        <a:xfrm flipH="1" flipV="1">
          <a:off x="4622282" y="25155591"/>
          <a:ext cx="988" cy="398117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121</xdr:row>
      <xdr:rowOff>171061</xdr:rowOff>
    </xdr:from>
    <xdr:to>
      <xdr:col>4</xdr:col>
      <xdr:colOff>32254</xdr:colOff>
      <xdr:row>124</xdr:row>
      <xdr:rowOff>12095</xdr:rowOff>
    </xdr:to>
    <xdr:cxnSp macro="">
      <xdr:nvCxnSpPr>
        <xdr:cNvPr id="73" name="Straight Arrow Connector 72">
          <a:extLst>
            <a:ext uri="{FF2B5EF4-FFF2-40B4-BE49-F238E27FC236}">
              <a16:creationId xmlns:a16="http://schemas.microsoft.com/office/drawing/2014/main" id="{AACD7D6C-7B50-4719-85AE-650B1523D554}"/>
            </a:ext>
          </a:extLst>
        </xdr:cNvPr>
        <xdr:cNvCxnSpPr/>
      </xdr:nvCxnSpPr>
      <xdr:spPr>
        <a:xfrm>
          <a:off x="3040944" y="24413950"/>
          <a:ext cx="5040" cy="391367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296281</xdr:colOff>
      <xdr:row>126</xdr:row>
      <xdr:rowOff>27047</xdr:rowOff>
    </xdr:from>
    <xdr:to>
      <xdr:col>2</xdr:col>
      <xdr:colOff>117488</xdr:colOff>
      <xdr:row>126</xdr:row>
      <xdr:rowOff>27047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21523026-2629-4EC8-BCB7-FF760BF447ED}"/>
            </a:ext>
          </a:extLst>
        </xdr:cNvPr>
        <xdr:cNvCxnSpPr/>
      </xdr:nvCxnSpPr>
      <xdr:spPr>
        <a:xfrm>
          <a:off x="1118541" y="25122506"/>
          <a:ext cx="789258" cy="0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278734</xdr:colOff>
      <xdr:row>124</xdr:row>
      <xdr:rowOff>10228</xdr:rowOff>
    </xdr:from>
    <xdr:to>
      <xdr:col>4</xdr:col>
      <xdr:colOff>431383</xdr:colOff>
      <xdr:row>124</xdr:row>
      <xdr:rowOff>10228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CEF55E73-80E6-4EF2-9AAA-53A580F4BB7B}"/>
            </a:ext>
          </a:extLst>
        </xdr:cNvPr>
        <xdr:cNvCxnSpPr/>
      </xdr:nvCxnSpPr>
      <xdr:spPr>
        <a:xfrm>
          <a:off x="2649401" y="24848349"/>
          <a:ext cx="791497" cy="0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342514</xdr:colOff>
      <xdr:row>125</xdr:row>
      <xdr:rowOff>180879</xdr:rowOff>
    </xdr:from>
    <xdr:to>
      <xdr:col>6</xdr:col>
      <xdr:colOff>495163</xdr:colOff>
      <xdr:row>125</xdr:row>
      <xdr:rowOff>180879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C6C3E41B-A7F8-4D7D-A48D-9327AA52EEB7}"/>
            </a:ext>
          </a:extLst>
        </xdr:cNvPr>
        <xdr:cNvCxnSpPr/>
      </xdr:nvCxnSpPr>
      <xdr:spPr>
        <a:xfrm>
          <a:off x="4275666" y="25203727"/>
          <a:ext cx="791497" cy="0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10027</xdr:colOff>
      <xdr:row>3</xdr:row>
      <xdr:rowOff>127001</xdr:rowOff>
    </xdr:from>
    <xdr:to>
      <xdr:col>10</xdr:col>
      <xdr:colOff>478657</xdr:colOff>
      <xdr:row>7</xdr:row>
      <xdr:rowOff>26736</xdr:rowOff>
    </xdr:to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C0A07B79-0DE5-402B-808B-2F547AECF357}"/>
            </a:ext>
          </a:extLst>
        </xdr:cNvPr>
        <xdr:cNvSpPr txBox="1"/>
      </xdr:nvSpPr>
      <xdr:spPr>
        <a:xfrm>
          <a:off x="6132764" y="678448"/>
          <a:ext cx="1845577" cy="634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650"/>
            <a:t>DISCLAIMER: This spreadsheet is intended to be used for preliminary design only.  Structurescentre.com will not be liable for any damages arising from the use of this spreadsheet.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36C7D-D5E9-4FAB-B567-A5E4A3B39582}">
  <sheetPr>
    <pageSetUpPr fitToPage="1"/>
  </sheetPr>
  <dimension ref="A1:L130"/>
  <sheetViews>
    <sheetView tabSelected="1" topLeftCell="A103" zoomScale="114" zoomScaleNormal="114" workbookViewId="0">
      <selection activeCell="J116" sqref="J116"/>
    </sheetView>
  </sheetViews>
  <sheetFormatPr defaultRowHeight="14.4" x14ac:dyDescent="0.55000000000000004"/>
  <cols>
    <col min="1" max="1" width="11.3671875" customWidth="1"/>
    <col min="2" max="2" width="13.3671875" customWidth="1"/>
    <col min="3" max="3" width="8.05078125" customWidth="1"/>
    <col min="4" max="4" width="8.83984375" customWidth="1"/>
    <col min="5" max="5" width="12.734375" customWidth="1"/>
    <col min="7" max="7" width="12.47265625" customWidth="1"/>
    <col min="10" max="10" width="10.15625" bestFit="1" customWidth="1"/>
    <col min="11" max="11" width="6.62890625" customWidth="1"/>
    <col min="13" max="13" width="11.68359375" bestFit="1" customWidth="1"/>
  </cols>
  <sheetData>
    <row r="1" spans="1:11" x14ac:dyDescent="0.55000000000000004">
      <c r="A1" s="65" t="s">
        <v>0</v>
      </c>
      <c r="B1" s="65"/>
      <c r="C1" s="65"/>
      <c r="D1" s="85" t="s">
        <v>1</v>
      </c>
      <c r="E1" s="85"/>
      <c r="F1" s="85"/>
      <c r="G1" s="85"/>
      <c r="H1" s="85"/>
      <c r="I1" s="1" t="s">
        <v>2</v>
      </c>
      <c r="J1" s="86"/>
      <c r="K1" s="87"/>
    </row>
    <row r="2" spans="1:11" x14ac:dyDescent="0.55000000000000004">
      <c r="A2" s="65"/>
      <c r="B2" s="65"/>
      <c r="C2" s="65"/>
      <c r="D2" s="85"/>
      <c r="E2" s="85"/>
      <c r="F2" s="85"/>
      <c r="G2" s="85"/>
      <c r="H2" s="85"/>
      <c r="I2" s="1"/>
      <c r="J2" s="88"/>
      <c r="K2" s="89"/>
    </row>
    <row r="3" spans="1:11" x14ac:dyDescent="0.55000000000000004">
      <c r="A3" s="65"/>
      <c r="B3" s="65"/>
      <c r="C3" s="65"/>
      <c r="D3" s="85" t="s">
        <v>9</v>
      </c>
      <c r="E3" s="85"/>
      <c r="F3" s="85"/>
      <c r="G3" s="85"/>
      <c r="H3" s="85"/>
      <c r="I3" s="1" t="s">
        <v>3</v>
      </c>
      <c r="J3" s="86"/>
      <c r="K3" s="87"/>
    </row>
    <row r="4" spans="1:11" x14ac:dyDescent="0.55000000000000004">
      <c r="A4" s="65"/>
      <c r="B4" s="65"/>
      <c r="C4" s="65"/>
      <c r="D4" s="85"/>
      <c r="E4" s="85"/>
      <c r="F4" s="85"/>
      <c r="G4" s="85"/>
      <c r="H4" s="85"/>
      <c r="I4" s="1"/>
      <c r="J4" s="88"/>
      <c r="K4" s="89"/>
    </row>
    <row r="5" spans="1:11" x14ac:dyDescent="0.55000000000000004">
      <c r="A5" s="65"/>
      <c r="B5" s="65"/>
      <c r="C5" s="65"/>
      <c r="D5" s="84" t="s">
        <v>4</v>
      </c>
      <c r="E5" s="84"/>
      <c r="F5" s="2"/>
      <c r="G5" s="84" t="s">
        <v>5</v>
      </c>
      <c r="H5" s="84"/>
      <c r="I5" s="90"/>
      <c r="J5" s="91"/>
      <c r="K5" s="92"/>
    </row>
    <row r="6" spans="1:11" x14ac:dyDescent="0.55000000000000004">
      <c r="A6" s="65"/>
      <c r="B6" s="65"/>
      <c r="C6" s="65"/>
      <c r="D6" s="84" t="s">
        <v>6</v>
      </c>
      <c r="E6" s="84"/>
      <c r="F6" s="2"/>
      <c r="G6" s="84" t="s">
        <v>5</v>
      </c>
      <c r="H6" s="84"/>
      <c r="I6" s="93"/>
      <c r="J6" s="94"/>
      <c r="K6" s="95"/>
    </row>
    <row r="7" spans="1:11" x14ac:dyDescent="0.55000000000000004">
      <c r="A7" s="65"/>
      <c r="B7" s="65"/>
      <c r="C7" s="65"/>
      <c r="D7" s="84" t="s">
        <v>7</v>
      </c>
      <c r="E7" s="84"/>
      <c r="F7" s="2"/>
      <c r="G7" s="84" t="s">
        <v>8</v>
      </c>
      <c r="H7" s="84"/>
      <c r="I7" s="96"/>
      <c r="J7" s="97"/>
      <c r="K7" s="98"/>
    </row>
    <row r="10" spans="1:11" x14ac:dyDescent="0.55000000000000004">
      <c r="A10" s="41"/>
      <c r="B10" s="41"/>
      <c r="C10" s="41"/>
      <c r="D10" s="41"/>
      <c r="E10" s="43">
        <f>J35</f>
        <v>6000</v>
      </c>
      <c r="F10" s="41"/>
      <c r="G10" s="41"/>
      <c r="H10" s="41"/>
      <c r="I10" s="41"/>
      <c r="J10" s="41"/>
    </row>
    <row r="11" spans="1:11" x14ac:dyDescent="0.55000000000000004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1" x14ac:dyDescent="0.55000000000000004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1" x14ac:dyDescent="0.55000000000000004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1" x14ac:dyDescent="0.55000000000000004">
      <c r="A14" s="45">
        <f>C47</f>
        <v>2450</v>
      </c>
      <c r="B14" s="41"/>
      <c r="C14" s="41"/>
      <c r="D14" s="41"/>
      <c r="E14" s="41"/>
      <c r="F14" s="41"/>
      <c r="G14" s="67">
        <f>C50</f>
        <v>2000</v>
      </c>
      <c r="H14" s="67"/>
      <c r="I14" s="41"/>
      <c r="J14" s="41"/>
    </row>
    <row r="15" spans="1:11" x14ac:dyDescent="0.55000000000000004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1" x14ac:dyDescent="0.55000000000000004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x14ac:dyDescent="0.55000000000000004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x14ac:dyDescent="0.55000000000000004">
      <c r="A18" s="41"/>
      <c r="B18" s="44">
        <f>C46</f>
        <v>2450</v>
      </c>
      <c r="C18" s="41"/>
      <c r="D18" s="41"/>
      <c r="E18" s="41"/>
      <c r="F18" s="66">
        <f>J36</f>
        <v>3000</v>
      </c>
      <c r="G18" s="66"/>
      <c r="H18" s="41"/>
      <c r="I18" s="41"/>
      <c r="J18" s="41"/>
    </row>
    <row r="19" spans="1:10" x14ac:dyDescent="0.55000000000000004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x14ac:dyDescent="0.55000000000000004">
      <c r="A20" s="41"/>
      <c r="B20" s="44">
        <f>D35+D36</f>
        <v>1500</v>
      </c>
      <c r="C20" s="41"/>
      <c r="D20" s="41"/>
      <c r="E20" s="41"/>
      <c r="F20" s="41"/>
      <c r="G20" s="44">
        <f>D40+D41</f>
        <v>850</v>
      </c>
      <c r="H20" s="41"/>
      <c r="I20" s="41"/>
      <c r="J20" s="41"/>
    </row>
    <row r="21" spans="1:10" x14ac:dyDescent="0.55000000000000004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x14ac:dyDescent="0.55000000000000004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x14ac:dyDescent="0.55000000000000004">
      <c r="A23" s="41"/>
      <c r="B23" s="45" t="s">
        <v>11</v>
      </c>
      <c r="C23" s="41"/>
      <c r="D23" s="41"/>
      <c r="E23" s="41"/>
      <c r="F23" s="41"/>
      <c r="G23" s="45" t="s">
        <v>12</v>
      </c>
      <c r="H23" s="41"/>
      <c r="I23" s="41"/>
      <c r="J23" s="41"/>
    </row>
    <row r="24" spans="1:10" x14ac:dyDescent="0.55000000000000004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x14ac:dyDescent="0.55000000000000004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x14ac:dyDescent="0.55000000000000004">
      <c r="A26" s="41"/>
      <c r="B26" s="41"/>
      <c r="C26" s="41"/>
      <c r="D26" s="41"/>
      <c r="E26" s="41" t="s">
        <v>10</v>
      </c>
      <c r="F26" s="41"/>
      <c r="G26" s="41"/>
      <c r="H26" s="41"/>
      <c r="I26" s="41"/>
      <c r="J26" s="41"/>
    </row>
    <row r="27" spans="1:10" x14ac:dyDescent="0.55000000000000004">
      <c r="A27" s="46" t="s">
        <v>13</v>
      </c>
      <c r="B27" s="41"/>
      <c r="C27" s="41"/>
      <c r="D27" s="41"/>
      <c r="E27" s="41"/>
      <c r="F27" s="41"/>
      <c r="G27" s="47" t="s">
        <v>14</v>
      </c>
      <c r="H27" s="41"/>
      <c r="I27" s="41"/>
      <c r="J27" s="41"/>
    </row>
    <row r="28" spans="1:10" x14ac:dyDescent="0.55000000000000004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0" x14ac:dyDescent="0.55000000000000004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x14ac:dyDescent="0.55000000000000004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31" spans="1:10" x14ac:dyDescent="0.55000000000000004">
      <c r="A31" s="41"/>
      <c r="B31" s="48">
        <f>J38</f>
        <v>1177.5862068965516</v>
      </c>
      <c r="C31" s="41"/>
      <c r="D31" s="41"/>
      <c r="E31" s="49">
        <f>J40</f>
        <v>2350</v>
      </c>
      <c r="F31" s="41"/>
      <c r="G31" s="50">
        <f>J39</f>
        <v>1172.4137931034484</v>
      </c>
      <c r="H31" s="41"/>
      <c r="I31" s="41"/>
      <c r="J31" s="41"/>
    </row>
    <row r="33" spans="1:11" x14ac:dyDescent="0.55000000000000004">
      <c r="A33" s="73" t="s">
        <v>20</v>
      </c>
      <c r="B33" s="74"/>
      <c r="C33" s="74"/>
      <c r="D33" s="74"/>
      <c r="E33" s="75"/>
      <c r="G33" s="73" t="s">
        <v>23</v>
      </c>
      <c r="H33" s="74"/>
      <c r="I33" s="74"/>
      <c r="J33" s="74"/>
      <c r="K33" s="75"/>
    </row>
    <row r="34" spans="1:11" x14ac:dyDescent="0.55000000000000004">
      <c r="A34" s="73" t="s">
        <v>11</v>
      </c>
      <c r="B34" s="74"/>
      <c r="C34" s="74"/>
      <c r="D34" s="74"/>
      <c r="E34" s="75"/>
      <c r="G34" s="15" t="s">
        <v>21</v>
      </c>
      <c r="H34" s="10"/>
      <c r="I34" s="10"/>
      <c r="J34" s="10"/>
      <c r="K34" s="11"/>
    </row>
    <row r="35" spans="1:11" ht="16.8" x14ac:dyDescent="0.75">
      <c r="A35" s="51" t="s">
        <v>105</v>
      </c>
      <c r="B35" s="52"/>
      <c r="C35" s="53"/>
      <c r="D35" s="5">
        <v>900</v>
      </c>
      <c r="E35" s="6" t="s">
        <v>25</v>
      </c>
      <c r="G35" s="51" t="s">
        <v>22</v>
      </c>
      <c r="H35" s="52"/>
      <c r="I35" s="53"/>
      <c r="J35" s="5">
        <v>6000</v>
      </c>
      <c r="K35" s="13" t="s">
        <v>15</v>
      </c>
    </row>
    <row r="36" spans="1:11" ht="16.8" x14ac:dyDescent="0.75">
      <c r="A36" s="51" t="s">
        <v>16</v>
      </c>
      <c r="B36" s="52"/>
      <c r="C36" s="53"/>
      <c r="D36" s="5">
        <v>600</v>
      </c>
      <c r="E36" s="6" t="s">
        <v>25</v>
      </c>
      <c r="G36" s="51" t="s">
        <v>91</v>
      </c>
      <c r="H36" s="52"/>
      <c r="I36" s="53"/>
      <c r="J36" s="5">
        <v>3000</v>
      </c>
      <c r="K36" s="6" t="s">
        <v>15</v>
      </c>
    </row>
    <row r="37" spans="1:11" ht="16.8" x14ac:dyDescent="0.75">
      <c r="A37" s="51" t="s">
        <v>18</v>
      </c>
      <c r="B37" s="52"/>
      <c r="C37" s="53"/>
      <c r="D37" s="5">
        <v>350</v>
      </c>
      <c r="E37" s="6" t="s">
        <v>15</v>
      </c>
      <c r="G37" s="80" t="s">
        <v>24</v>
      </c>
      <c r="H37" s="81"/>
      <c r="I37" s="81"/>
      <c r="J37" s="81"/>
      <c r="K37" s="82"/>
    </row>
    <row r="38" spans="1:11" ht="16.8" x14ac:dyDescent="0.75">
      <c r="A38" s="51" t="s">
        <v>17</v>
      </c>
      <c r="B38" s="52"/>
      <c r="C38" s="53"/>
      <c r="D38" s="5">
        <v>350</v>
      </c>
      <c r="E38" s="6" t="s">
        <v>15</v>
      </c>
      <c r="G38" s="51" t="s">
        <v>26</v>
      </c>
      <c r="H38" s="52"/>
      <c r="I38" s="53"/>
      <c r="J38" s="25">
        <f>(D35+D36+D40+D41)-J39</f>
        <v>1177.5862068965516</v>
      </c>
      <c r="K38" s="6" t="s">
        <v>25</v>
      </c>
    </row>
    <row r="39" spans="1:11" x14ac:dyDescent="0.55000000000000004">
      <c r="A39" s="73" t="s">
        <v>19</v>
      </c>
      <c r="B39" s="74"/>
      <c r="C39" s="74"/>
      <c r="D39" s="74"/>
      <c r="E39" s="75"/>
      <c r="G39" s="51" t="s">
        <v>27</v>
      </c>
      <c r="H39" s="52"/>
      <c r="I39" s="83"/>
      <c r="J39" s="24">
        <f>((D40+D41)*J35)/(J35-(J36/2)-D42/2)</f>
        <v>1172.4137931034484</v>
      </c>
      <c r="K39" s="11" t="s">
        <v>25</v>
      </c>
    </row>
    <row r="40" spans="1:11" ht="16.8" x14ac:dyDescent="0.75">
      <c r="A40" s="51" t="s">
        <v>105</v>
      </c>
      <c r="B40" s="52"/>
      <c r="C40" s="53"/>
      <c r="D40" s="5">
        <v>500</v>
      </c>
      <c r="E40" s="6" t="s">
        <v>25</v>
      </c>
      <c r="G40" s="51" t="s">
        <v>28</v>
      </c>
      <c r="H40" s="52"/>
      <c r="I40" s="53"/>
      <c r="J40" s="25">
        <f>J38+J39</f>
        <v>2350</v>
      </c>
      <c r="K40" s="6" t="s">
        <v>25</v>
      </c>
    </row>
    <row r="41" spans="1:11" ht="16.8" x14ac:dyDescent="0.75">
      <c r="A41" s="51" t="s">
        <v>16</v>
      </c>
      <c r="B41" s="52"/>
      <c r="C41" s="53"/>
      <c r="D41" s="5">
        <v>350</v>
      </c>
      <c r="E41" s="6" t="s">
        <v>25</v>
      </c>
      <c r="G41" s="51" t="s">
        <v>29</v>
      </c>
      <c r="H41" s="52"/>
      <c r="I41" s="53"/>
      <c r="J41" s="26">
        <f>((D40+D41)*J35)/J40</f>
        <v>2170.2127659574467</v>
      </c>
      <c r="K41" s="6" t="s">
        <v>15</v>
      </c>
    </row>
    <row r="42" spans="1:11" ht="16.8" x14ac:dyDescent="0.75">
      <c r="A42" s="51" t="s">
        <v>18</v>
      </c>
      <c r="B42" s="52"/>
      <c r="C42" s="53"/>
      <c r="D42" s="23">
        <v>300</v>
      </c>
      <c r="E42" s="6" t="s">
        <v>15</v>
      </c>
      <c r="G42" s="51" t="s">
        <v>30</v>
      </c>
      <c r="H42" s="52"/>
      <c r="I42" s="53"/>
      <c r="J42" s="26">
        <f>SQRT(J38/I46)*1000</f>
        <v>2426.505931268819</v>
      </c>
      <c r="K42" s="6" t="s">
        <v>15</v>
      </c>
    </row>
    <row r="43" spans="1:11" ht="16.8" x14ac:dyDescent="0.75">
      <c r="A43" s="51" t="s">
        <v>17</v>
      </c>
      <c r="B43" s="52"/>
      <c r="C43" s="53"/>
      <c r="D43" s="5">
        <v>300</v>
      </c>
      <c r="E43" s="9" t="s">
        <v>15</v>
      </c>
      <c r="G43" s="51" t="s">
        <v>37</v>
      </c>
      <c r="H43" s="52"/>
      <c r="I43" s="53"/>
      <c r="J43" s="26">
        <f>(((J42^2*J41))/((J35-J36/2-D42/2)-J41))/J36</f>
        <v>1954.0229885057468</v>
      </c>
      <c r="K43" s="9" t="s">
        <v>15</v>
      </c>
    </row>
    <row r="45" spans="1:11" x14ac:dyDescent="0.55000000000000004">
      <c r="B45" s="73" t="s">
        <v>31</v>
      </c>
      <c r="C45" s="74"/>
      <c r="D45" s="75"/>
      <c r="F45" s="69" t="s">
        <v>44</v>
      </c>
      <c r="G45" s="70"/>
      <c r="H45" s="70"/>
      <c r="I45" s="70"/>
      <c r="J45" s="71"/>
    </row>
    <row r="46" spans="1:11" ht="16.8" x14ac:dyDescent="0.75">
      <c r="B46" s="13" t="s">
        <v>33</v>
      </c>
      <c r="C46" s="5">
        <v>2450</v>
      </c>
      <c r="D46" s="13" t="s">
        <v>15</v>
      </c>
      <c r="F46" s="51" t="s">
        <v>92</v>
      </c>
      <c r="G46" s="52"/>
      <c r="H46" s="53"/>
      <c r="I46" s="5">
        <v>200</v>
      </c>
      <c r="J46" s="6" t="s">
        <v>45</v>
      </c>
    </row>
    <row r="47" spans="1:11" ht="16.8" x14ac:dyDescent="0.75">
      <c r="B47" s="13" t="s">
        <v>34</v>
      </c>
      <c r="C47" s="5">
        <v>2450</v>
      </c>
      <c r="D47" s="13" t="s">
        <v>15</v>
      </c>
      <c r="F47" s="68" t="s">
        <v>107</v>
      </c>
      <c r="G47" s="68"/>
      <c r="H47" s="68"/>
      <c r="I47" s="5">
        <v>410</v>
      </c>
      <c r="J47" s="6" t="s">
        <v>45</v>
      </c>
    </row>
    <row r="48" spans="1:11" ht="16.8" x14ac:dyDescent="0.75">
      <c r="B48" s="73" t="s">
        <v>32</v>
      </c>
      <c r="C48" s="74"/>
      <c r="D48" s="75"/>
      <c r="F48" s="51" t="s">
        <v>106</v>
      </c>
      <c r="G48" s="52"/>
      <c r="H48" s="53"/>
      <c r="I48" s="5">
        <v>20</v>
      </c>
      <c r="J48" s="6" t="s">
        <v>45</v>
      </c>
    </row>
    <row r="49" spans="1:10" ht="16.8" x14ac:dyDescent="0.75">
      <c r="B49" s="13" t="s">
        <v>35</v>
      </c>
      <c r="C49" s="5">
        <f>J36</f>
        <v>3000</v>
      </c>
      <c r="D49" s="13" t="s">
        <v>15</v>
      </c>
      <c r="F49" s="76" t="s">
        <v>46</v>
      </c>
      <c r="G49" s="76"/>
      <c r="H49" s="76"/>
      <c r="I49" s="76"/>
      <c r="J49" s="76"/>
    </row>
    <row r="50" spans="1:10" ht="16.8" x14ac:dyDescent="0.75">
      <c r="B50" s="13" t="s">
        <v>36</v>
      </c>
      <c r="C50" s="5">
        <v>2000</v>
      </c>
      <c r="D50" s="13" t="s">
        <v>15</v>
      </c>
      <c r="F50" s="14" t="s">
        <v>47</v>
      </c>
      <c r="G50" s="16">
        <v>1.1000000000000001</v>
      </c>
      <c r="H50" s="13" t="s">
        <v>48</v>
      </c>
      <c r="I50" s="5">
        <v>1.5</v>
      </c>
      <c r="J50" s="13"/>
    </row>
    <row r="51" spans="1:10" ht="16.8" x14ac:dyDescent="0.75">
      <c r="F51" s="14" t="s">
        <v>49</v>
      </c>
      <c r="G51" s="16">
        <v>0.9</v>
      </c>
      <c r="H51" s="13" t="s">
        <v>50</v>
      </c>
      <c r="I51" s="5">
        <v>0</v>
      </c>
      <c r="J51" s="13"/>
    </row>
    <row r="52" spans="1:10" x14ac:dyDescent="0.55000000000000004">
      <c r="F52" s="69" t="s">
        <v>51</v>
      </c>
      <c r="G52" s="70"/>
      <c r="H52" s="70"/>
      <c r="I52" s="70"/>
      <c r="J52" s="71"/>
    </row>
    <row r="53" spans="1:10" ht="16.8" x14ac:dyDescent="0.75">
      <c r="A53" s="73" t="s">
        <v>38</v>
      </c>
      <c r="B53" s="74"/>
      <c r="C53" s="74"/>
      <c r="D53" s="75"/>
      <c r="F53" s="13" t="s">
        <v>108</v>
      </c>
      <c r="G53" s="5">
        <v>1.35</v>
      </c>
    </row>
    <row r="54" spans="1:10" ht="17.7" x14ac:dyDescent="0.75">
      <c r="A54" s="51" t="s">
        <v>39</v>
      </c>
      <c r="B54" s="53"/>
      <c r="C54" s="17">
        <f>J38/(C46*C47*10^-6)</f>
        <v>196.1826250556521</v>
      </c>
      <c r="D54" s="13" t="s">
        <v>80</v>
      </c>
      <c r="F54" s="13" t="s">
        <v>109</v>
      </c>
      <c r="G54" s="7">
        <v>1.5</v>
      </c>
    </row>
    <row r="55" spans="1:10" ht="16.5" x14ac:dyDescent="0.55000000000000004">
      <c r="A55" s="51" t="s">
        <v>40</v>
      </c>
      <c r="B55" s="53"/>
      <c r="C55" s="17">
        <f>J39/(C49*C50*10^-6)</f>
        <v>195.40229885057474</v>
      </c>
      <c r="D55" s="13" t="s">
        <v>80</v>
      </c>
    </row>
    <row r="56" spans="1:10" x14ac:dyDescent="0.55000000000000004">
      <c r="A56" s="3"/>
      <c r="B56" s="4"/>
      <c r="C56" s="13" t="s">
        <v>41</v>
      </c>
      <c r="D56" s="18" t="str">
        <f>IF((D35+D36+D40+D41)/((C46*C47*10^-6)+(C49*C50*10^-6)),"Pass","Fail")</f>
        <v>Pass</v>
      </c>
    </row>
    <row r="57" spans="1:10" x14ac:dyDescent="0.55000000000000004">
      <c r="A57" s="73" t="s">
        <v>42</v>
      </c>
      <c r="B57" s="74"/>
      <c r="C57" s="74"/>
      <c r="D57" s="75"/>
    </row>
    <row r="58" spans="1:10" ht="16.8" x14ac:dyDescent="0.75">
      <c r="A58" s="51" t="s">
        <v>43</v>
      </c>
      <c r="B58" s="53"/>
      <c r="C58" s="17">
        <f>((G50*D40)+(I50*D41))*(J36/2-D42/2)/1000</f>
        <v>1451.25</v>
      </c>
      <c r="D58" s="13"/>
    </row>
    <row r="59" spans="1:10" ht="16.8" x14ac:dyDescent="0.75">
      <c r="A59" s="51" t="s">
        <v>52</v>
      </c>
      <c r="B59" s="53"/>
      <c r="C59" s="17">
        <f>((G53*D35)+(I51*D36))*(J35-J36/2-D42/2)/1000</f>
        <v>5285.25</v>
      </c>
      <c r="D59" s="13"/>
    </row>
    <row r="60" spans="1:10" x14ac:dyDescent="0.55000000000000004">
      <c r="A60" s="13"/>
      <c r="B60" s="13"/>
      <c r="C60" s="13" t="s">
        <v>41</v>
      </c>
      <c r="D60" s="18" t="str">
        <f>IF(C58&lt;=C59,"Pass","Fail")</f>
        <v>Pass</v>
      </c>
    </row>
    <row r="62" spans="1:10" x14ac:dyDescent="0.55000000000000004">
      <c r="A62" s="73" t="s">
        <v>66</v>
      </c>
      <c r="B62" s="74"/>
      <c r="C62" s="74"/>
      <c r="D62" s="75"/>
      <c r="F62" s="73" t="s">
        <v>67</v>
      </c>
      <c r="G62" s="74"/>
      <c r="H62" s="74"/>
      <c r="I62" s="75"/>
    </row>
    <row r="63" spans="1:10" x14ac:dyDescent="0.55000000000000004">
      <c r="A63" s="73" t="s">
        <v>21</v>
      </c>
      <c r="B63" s="74"/>
      <c r="C63" s="74"/>
      <c r="D63" s="75"/>
      <c r="F63" s="73" t="s">
        <v>21</v>
      </c>
      <c r="G63" s="74"/>
      <c r="H63" s="74"/>
      <c r="I63" s="75"/>
    </row>
    <row r="64" spans="1:10" ht="16.5" x14ac:dyDescent="0.55000000000000004">
      <c r="A64" s="68" t="s">
        <v>79</v>
      </c>
      <c r="B64" s="68"/>
      <c r="C64" s="27">
        <f>(((G53*D35)+(G54*D36))+((G53*D40)+(G54*D41)))/((C46*C47*10^-6)+(C49*C50*10^-6))</f>
        <v>276.19245990418665</v>
      </c>
      <c r="D64" s="20" t="s">
        <v>80</v>
      </c>
      <c r="F64" s="68" t="s">
        <v>79</v>
      </c>
      <c r="G64" s="68"/>
      <c r="H64" s="27">
        <f>(((G53*D35)+(G54*D36))+((G53*D40)+(G54*D41)))/((C46*C47*10^-6)+(C49*C50*10^-6))</f>
        <v>276.19245990418665</v>
      </c>
      <c r="I64" s="20" t="s">
        <v>80</v>
      </c>
    </row>
    <row r="65" spans="1:9" ht="16.8" x14ac:dyDescent="0.75">
      <c r="A65" s="51" t="s">
        <v>110</v>
      </c>
      <c r="B65" s="53"/>
      <c r="C65" s="28">
        <f>C64*((C46-D37)/2000)^2</f>
        <v>304.50218704436577</v>
      </c>
      <c r="D65" s="13" t="s">
        <v>53</v>
      </c>
      <c r="E65" s="19"/>
      <c r="F65" s="51" t="s">
        <v>95</v>
      </c>
      <c r="G65" s="53"/>
      <c r="H65" s="17">
        <f>H64*((C50-D42)/2000)^2</f>
        <v>199.54905228077484</v>
      </c>
      <c r="I65" s="13" t="s">
        <v>53</v>
      </c>
    </row>
    <row r="66" spans="1:9" x14ac:dyDescent="0.55000000000000004">
      <c r="A66" s="51" t="s">
        <v>54</v>
      </c>
      <c r="B66" s="53"/>
      <c r="C66" s="5">
        <v>600</v>
      </c>
      <c r="D66" s="13" t="s">
        <v>15</v>
      </c>
      <c r="E66" s="19"/>
      <c r="F66" s="51" t="s">
        <v>54</v>
      </c>
      <c r="G66" s="53"/>
      <c r="H66" s="5">
        <v>600</v>
      </c>
      <c r="I66" s="13" t="s">
        <v>15</v>
      </c>
    </row>
    <row r="67" spans="1:9" x14ac:dyDescent="0.55000000000000004">
      <c r="A67" s="51" t="s">
        <v>55</v>
      </c>
      <c r="B67" s="53"/>
      <c r="C67" s="5">
        <v>16</v>
      </c>
      <c r="D67" s="13" t="s">
        <v>15</v>
      </c>
      <c r="E67" s="19"/>
      <c r="F67" s="51" t="s">
        <v>55</v>
      </c>
      <c r="G67" s="53"/>
      <c r="H67" s="5">
        <v>16</v>
      </c>
      <c r="I67" s="13" t="s">
        <v>15</v>
      </c>
    </row>
    <row r="68" spans="1:9" x14ac:dyDescent="0.55000000000000004">
      <c r="A68" s="51" t="s">
        <v>56</v>
      </c>
      <c r="B68" s="53"/>
      <c r="C68" s="5">
        <v>16</v>
      </c>
      <c r="D68" s="13" t="s">
        <v>15</v>
      </c>
      <c r="F68" s="51" t="s">
        <v>56</v>
      </c>
      <c r="G68" s="53"/>
      <c r="H68" s="5">
        <v>16</v>
      </c>
      <c r="I68" s="13" t="s">
        <v>15</v>
      </c>
    </row>
    <row r="69" spans="1:9" x14ac:dyDescent="0.55000000000000004">
      <c r="A69" s="51" t="s">
        <v>57</v>
      </c>
      <c r="B69" s="53"/>
      <c r="C69" s="5">
        <v>40</v>
      </c>
      <c r="D69" s="13" t="s">
        <v>15</v>
      </c>
      <c r="F69" s="51" t="s">
        <v>57</v>
      </c>
      <c r="G69" s="53"/>
      <c r="H69" s="5">
        <v>40</v>
      </c>
      <c r="I69" s="13" t="s">
        <v>15</v>
      </c>
    </row>
    <row r="70" spans="1:9" x14ac:dyDescent="0.55000000000000004">
      <c r="A70" s="51" t="s">
        <v>58</v>
      </c>
      <c r="B70" s="53"/>
      <c r="C70" s="5">
        <v>40</v>
      </c>
      <c r="D70" s="13" t="s">
        <v>15</v>
      </c>
      <c r="F70" s="51" t="s">
        <v>58</v>
      </c>
      <c r="G70" s="53"/>
      <c r="H70" s="5">
        <v>40</v>
      </c>
      <c r="I70" s="13" t="s">
        <v>15</v>
      </c>
    </row>
    <row r="71" spans="1:9" x14ac:dyDescent="0.55000000000000004">
      <c r="A71" s="51" t="s">
        <v>59</v>
      </c>
      <c r="B71" s="53"/>
      <c r="C71" s="17">
        <f>C66-C69-C67/2</f>
        <v>552</v>
      </c>
      <c r="D71" s="13" t="s">
        <v>15</v>
      </c>
      <c r="F71" s="51" t="s">
        <v>59</v>
      </c>
      <c r="G71" s="53"/>
      <c r="H71" s="17">
        <f>H66-H69-H67/2</f>
        <v>552</v>
      </c>
      <c r="I71" s="13" t="s">
        <v>15</v>
      </c>
    </row>
    <row r="72" spans="1:9" x14ac:dyDescent="0.55000000000000004">
      <c r="A72" s="51" t="s">
        <v>60</v>
      </c>
      <c r="B72" s="53"/>
      <c r="C72" s="17">
        <f>C70+C68/2</f>
        <v>48</v>
      </c>
      <c r="D72" s="13" t="s">
        <v>15</v>
      </c>
      <c r="F72" s="51" t="s">
        <v>60</v>
      </c>
      <c r="G72" s="53"/>
      <c r="H72" s="17">
        <f>H70+H68/2</f>
        <v>48</v>
      </c>
      <c r="I72" s="13" t="s">
        <v>15</v>
      </c>
    </row>
    <row r="73" spans="1:9" x14ac:dyDescent="0.55000000000000004">
      <c r="A73" s="12" t="s">
        <v>61</v>
      </c>
      <c r="B73" s="12"/>
      <c r="C73" s="29"/>
      <c r="D73" s="12"/>
      <c r="F73" s="12" t="s">
        <v>61</v>
      </c>
      <c r="G73" s="12"/>
      <c r="H73" s="29"/>
      <c r="I73" s="12"/>
    </row>
    <row r="74" spans="1:9" x14ac:dyDescent="0.55000000000000004">
      <c r="A74" s="51" t="s">
        <v>62</v>
      </c>
      <c r="B74" s="53"/>
      <c r="C74" s="30">
        <v>0.16800000000000001</v>
      </c>
      <c r="D74" s="2"/>
      <c r="F74" s="51" t="s">
        <v>62</v>
      </c>
      <c r="G74" s="53"/>
      <c r="H74" s="27">
        <v>0.16800000000000001</v>
      </c>
      <c r="I74" s="2"/>
    </row>
    <row r="75" spans="1:9" x14ac:dyDescent="0.55000000000000004">
      <c r="A75" s="51" t="s">
        <v>63</v>
      </c>
      <c r="B75" s="53"/>
      <c r="C75" s="28">
        <f>(C65*10^6)/(I48*10^3*C71^2)</f>
        <v>4.9966883769882536E-2</v>
      </c>
      <c r="D75" s="2"/>
      <c r="F75" s="51" t="s">
        <v>63</v>
      </c>
      <c r="G75" s="53"/>
      <c r="H75" s="28">
        <f>(H65*10^6)/(I48*10^3*H71^2)</f>
        <v>3.2744737890013725E-2</v>
      </c>
      <c r="I75" s="2"/>
    </row>
    <row r="76" spans="1:9" x14ac:dyDescent="0.55000000000000004">
      <c r="A76" s="51" t="s">
        <v>64</v>
      </c>
      <c r="B76" s="53"/>
      <c r="C76" s="28">
        <f>MIN(C71*(0.5+SQRT(0.25-(0.882*C75))), 0.95*C71)</f>
        <v>524.4</v>
      </c>
      <c r="D76" s="13" t="s">
        <v>15</v>
      </c>
      <c r="F76" s="51" t="s">
        <v>64</v>
      </c>
      <c r="G76" s="53"/>
      <c r="H76" s="28">
        <f>MIN(H71*(0.5+SQRT(0.25-(0.882*H75))), 0.95*H71)</f>
        <v>524.4</v>
      </c>
      <c r="I76" s="13" t="s">
        <v>15</v>
      </c>
    </row>
    <row r="77" spans="1:9" ht="17.7" x14ac:dyDescent="0.75">
      <c r="A77" s="51" t="s">
        <v>111</v>
      </c>
      <c r="B77" s="53"/>
      <c r="C77" s="28">
        <f>C65*10^6/(0.87*I47*C76)</f>
        <v>1627.8883827468262</v>
      </c>
      <c r="D77" s="13" t="s">
        <v>114</v>
      </c>
      <c r="F77" s="51" t="s">
        <v>111</v>
      </c>
      <c r="G77" s="53"/>
      <c r="H77" s="28">
        <f>H65*10^6/(0.87*I47*H76)</f>
        <v>1066.8021374463328</v>
      </c>
      <c r="I77" s="13" t="s">
        <v>114</v>
      </c>
    </row>
    <row r="78" spans="1:9" ht="17.7" x14ac:dyDescent="0.75">
      <c r="A78" s="51" t="s">
        <v>112</v>
      </c>
      <c r="B78" s="53"/>
      <c r="C78" s="28">
        <f>0.15/100*1000*C71</f>
        <v>828</v>
      </c>
      <c r="D78" s="13" t="s">
        <v>114</v>
      </c>
      <c r="F78" s="51" t="s">
        <v>112</v>
      </c>
      <c r="G78" s="53"/>
      <c r="H78" s="28">
        <f>0.15/100*1000*H71</f>
        <v>828</v>
      </c>
      <c r="I78" s="13" t="s">
        <v>114</v>
      </c>
    </row>
    <row r="79" spans="1:9" x14ac:dyDescent="0.55000000000000004">
      <c r="A79" s="73" t="s">
        <v>77</v>
      </c>
      <c r="B79" s="74"/>
      <c r="C79" s="74"/>
      <c r="D79" s="75"/>
      <c r="F79" s="73" t="s">
        <v>77</v>
      </c>
      <c r="G79" s="74"/>
      <c r="H79" s="74"/>
      <c r="I79" s="75"/>
    </row>
    <row r="80" spans="1:9" x14ac:dyDescent="0.55000000000000004">
      <c r="A80" s="77" t="s">
        <v>21</v>
      </c>
      <c r="B80" s="78"/>
      <c r="C80" s="78"/>
      <c r="D80" s="79"/>
      <c r="F80" s="77" t="s">
        <v>21</v>
      </c>
      <c r="G80" s="78"/>
      <c r="H80" s="78"/>
      <c r="I80" s="79"/>
    </row>
    <row r="81" spans="1:12" ht="16.8" x14ac:dyDescent="0.75">
      <c r="A81" s="51" t="s">
        <v>68</v>
      </c>
      <c r="B81" s="53"/>
      <c r="C81" s="28">
        <f>C64*((C46-D37)/2000-C71/1000)</f>
        <v>137.54384503228496</v>
      </c>
      <c r="D81" s="20" t="s">
        <v>25</v>
      </c>
      <c r="F81" s="51" t="s">
        <v>68</v>
      </c>
      <c r="G81" s="53"/>
      <c r="H81" s="28">
        <f>H64*((C50-D42)/2000-H71/1000)</f>
        <v>82.305353051447597</v>
      </c>
      <c r="I81" s="20" t="s">
        <v>25</v>
      </c>
    </row>
    <row r="82" spans="1:12" x14ac:dyDescent="0.55000000000000004">
      <c r="A82" s="77" t="s">
        <v>61</v>
      </c>
      <c r="B82" s="78"/>
      <c r="C82" s="78"/>
      <c r="D82" s="79"/>
      <c r="F82" s="77" t="s">
        <v>61</v>
      </c>
      <c r="G82" s="78"/>
      <c r="H82" s="78"/>
      <c r="I82" s="79"/>
    </row>
    <row r="83" spans="1:12" ht="17.7" x14ac:dyDescent="0.75">
      <c r="A83" s="51" t="s">
        <v>93</v>
      </c>
      <c r="B83" s="53"/>
      <c r="C83" s="28">
        <f>MIN(0.12*(1+SQRT(200/C71)*(100*C77/(1000*C71)*I48)^(1/3)),(0.035*(1+SQRT(200/C71))^1.5*SQRT(I48))) *C71</f>
        <v>138.27954536282408</v>
      </c>
      <c r="D83" s="20" t="s">
        <v>72</v>
      </c>
      <c r="F83" s="51" t="s">
        <v>94</v>
      </c>
      <c r="G83" s="53"/>
      <c r="H83" s="28">
        <f>MIN(0.12*(1+SQRT(200/H71)*(100*H77/(1000*H71)*I48)^(1/3)),(0.035*(1+SQRT(200/H71))^1.5*SQRT(I48))) *H71</f>
        <v>128.81353845025114</v>
      </c>
      <c r="I83" s="20" t="s">
        <v>72</v>
      </c>
    </row>
    <row r="84" spans="1:12" x14ac:dyDescent="0.55000000000000004">
      <c r="A84" s="51"/>
      <c r="B84" s="53"/>
      <c r="C84" s="21" t="s">
        <v>78</v>
      </c>
      <c r="D84" s="31" t="str">
        <f>IF(C81&lt;=C83,"Pass","Resize")</f>
        <v>Pass</v>
      </c>
      <c r="F84" s="51"/>
      <c r="G84" s="53"/>
      <c r="H84" s="21" t="s">
        <v>78</v>
      </c>
      <c r="I84" s="31" t="str">
        <f>IF(H81&lt;=H83,"Pass","Resize")</f>
        <v>Pass</v>
      </c>
      <c r="L84" s="22"/>
    </row>
    <row r="86" spans="1:12" x14ac:dyDescent="0.55000000000000004">
      <c r="A86" s="73" t="s">
        <v>81</v>
      </c>
      <c r="B86" s="74"/>
      <c r="C86" s="74"/>
      <c r="D86" s="75"/>
      <c r="F86" s="73" t="s">
        <v>82</v>
      </c>
      <c r="G86" s="74"/>
      <c r="H86" s="74"/>
      <c r="I86" s="75"/>
    </row>
    <row r="87" spans="1:12" x14ac:dyDescent="0.55000000000000004">
      <c r="A87" s="77" t="s">
        <v>21</v>
      </c>
      <c r="B87" s="78"/>
      <c r="C87" s="78"/>
      <c r="D87" s="79"/>
      <c r="F87" s="77" t="s">
        <v>21</v>
      </c>
      <c r="G87" s="78"/>
      <c r="H87" s="78"/>
      <c r="I87" s="79"/>
    </row>
    <row r="88" spans="1:12" ht="16.8" x14ac:dyDescent="0.75">
      <c r="A88" s="51" t="s">
        <v>95</v>
      </c>
      <c r="B88" s="53"/>
      <c r="C88" s="34">
        <f>(G53*D40+G54*D41)*(((G53*D40+G54*D41)/(C64*(C50/1000)))-D42/2000)- (C64*(C50/1000)*((G53*D40+G54*D41)/(C64*(C50/1000)))^2/2)</f>
        <v>1123.4389140271492</v>
      </c>
      <c r="D88" s="13" t="s">
        <v>53</v>
      </c>
      <c r="F88" s="51" t="s">
        <v>68</v>
      </c>
      <c r="G88" s="53"/>
      <c r="H88" s="28">
        <f>(((((G53*D35)+(G54*D36))+((G53*D40)+(G54*D41)))/((C46*C47*10^-6)+(C49*C50*10^-6)))*C49*C50*10^-6)-((G53*D40)+(G54*D41))</f>
        <v>457.15475942511989</v>
      </c>
      <c r="I88" s="20" t="s">
        <v>25</v>
      </c>
    </row>
    <row r="89" spans="1:12" ht="16.8" x14ac:dyDescent="0.75">
      <c r="A89" s="51" t="s">
        <v>96</v>
      </c>
      <c r="B89" s="53"/>
      <c r="C89" s="5">
        <v>1200</v>
      </c>
      <c r="D89" s="13" t="s">
        <v>15</v>
      </c>
      <c r="F89" s="51" t="s">
        <v>69</v>
      </c>
      <c r="G89" s="53"/>
      <c r="H89" s="28">
        <v>0</v>
      </c>
      <c r="I89" s="20" t="s">
        <v>25</v>
      </c>
    </row>
    <row r="90" spans="1:12" x14ac:dyDescent="0.55000000000000004">
      <c r="A90" s="51" t="s">
        <v>97</v>
      </c>
      <c r="B90" s="53"/>
      <c r="C90" s="5">
        <v>400</v>
      </c>
      <c r="D90" s="13" t="s">
        <v>15</v>
      </c>
      <c r="F90" s="51" t="s">
        <v>99</v>
      </c>
      <c r="G90" s="53"/>
      <c r="H90" s="28">
        <f>C90</f>
        <v>400</v>
      </c>
      <c r="I90" s="20" t="s">
        <v>15</v>
      </c>
    </row>
    <row r="91" spans="1:12" x14ac:dyDescent="0.55000000000000004">
      <c r="A91" s="51" t="s">
        <v>55</v>
      </c>
      <c r="B91" s="53"/>
      <c r="C91" s="5">
        <v>20</v>
      </c>
      <c r="D91" s="13" t="s">
        <v>15</v>
      </c>
      <c r="F91" s="51" t="s">
        <v>70</v>
      </c>
      <c r="G91" s="53"/>
      <c r="H91" s="17">
        <f>C89</f>
        <v>1200</v>
      </c>
      <c r="I91" s="20" t="s">
        <v>15</v>
      </c>
    </row>
    <row r="92" spans="1:12" x14ac:dyDescent="0.55000000000000004">
      <c r="A92" s="51" t="s">
        <v>56</v>
      </c>
      <c r="B92" s="53"/>
      <c r="C92" s="5">
        <v>16</v>
      </c>
      <c r="D92" s="13" t="s">
        <v>15</v>
      </c>
      <c r="F92" s="51" t="s">
        <v>71</v>
      </c>
      <c r="G92" s="53"/>
      <c r="H92" s="17">
        <f>C95</f>
        <v>1120</v>
      </c>
      <c r="I92" s="20" t="s">
        <v>15</v>
      </c>
    </row>
    <row r="93" spans="1:12" x14ac:dyDescent="0.55000000000000004">
      <c r="A93" s="51" t="s">
        <v>57</v>
      </c>
      <c r="B93" s="53"/>
      <c r="C93" s="5">
        <v>40</v>
      </c>
      <c r="D93" s="13" t="s">
        <v>15</v>
      </c>
      <c r="F93" s="51" t="s">
        <v>102</v>
      </c>
      <c r="G93" s="53"/>
      <c r="H93" s="5">
        <v>10</v>
      </c>
      <c r="I93" s="20" t="s">
        <v>15</v>
      </c>
    </row>
    <row r="94" spans="1:12" x14ac:dyDescent="0.55000000000000004">
      <c r="A94" s="51" t="s">
        <v>58</v>
      </c>
      <c r="B94" s="53"/>
      <c r="C94" s="5">
        <v>40</v>
      </c>
      <c r="D94" s="13" t="s">
        <v>15</v>
      </c>
      <c r="F94" s="77" t="s">
        <v>61</v>
      </c>
      <c r="G94" s="78"/>
      <c r="H94" s="78"/>
      <c r="I94" s="79"/>
    </row>
    <row r="95" spans="1:12" ht="16.8" x14ac:dyDescent="0.75">
      <c r="A95" s="51" t="s">
        <v>59</v>
      </c>
      <c r="B95" s="53"/>
      <c r="C95" s="17">
        <f>C89-(C93+C91/2+C91+H93)</f>
        <v>1120</v>
      </c>
      <c r="D95" s="13" t="s">
        <v>15</v>
      </c>
      <c r="F95" s="51" t="s">
        <v>113</v>
      </c>
      <c r="G95" s="53"/>
      <c r="H95" s="28">
        <f>MIN(0.12*(1+SQRT(200/H92)*(100*C100/(H90*H92)*I48)^(1/3)),(0.035*(1+SQRT(200/H92))^1.5*SQRT(I48))) *H90*H92*10^-3</f>
        <v>108.34626597448326</v>
      </c>
      <c r="I95" s="20" t="s">
        <v>25</v>
      </c>
    </row>
    <row r="96" spans="1:12" x14ac:dyDescent="0.55000000000000004">
      <c r="A96" s="12" t="s">
        <v>61</v>
      </c>
      <c r="B96" s="12"/>
      <c r="C96" s="12"/>
      <c r="D96" s="12"/>
      <c r="F96" s="51" t="s">
        <v>73</v>
      </c>
      <c r="G96" s="53"/>
      <c r="H96" s="28">
        <f>(0.5*ASIN(5.56*H88*1000/((H90*H92)*(1-I48/250)*I48))*180/PI())</f>
        <v>8.97987349180808</v>
      </c>
      <c r="I96" s="20"/>
    </row>
    <row r="97" spans="1:9" x14ac:dyDescent="0.55000000000000004">
      <c r="A97" s="51" t="s">
        <v>62</v>
      </c>
      <c r="B97" s="53"/>
      <c r="C97" s="30">
        <v>0.16800000000000001</v>
      </c>
      <c r="D97" s="2"/>
      <c r="F97" s="51" t="s">
        <v>74</v>
      </c>
      <c r="G97" s="53"/>
      <c r="H97" s="28">
        <f>IF(_xlfn.COT(RADIANS(H96))&gt;2.5,2.5,_xlfn.COT(RADIANS(H96)))</f>
        <v>2.5</v>
      </c>
      <c r="I97" s="20"/>
    </row>
    <row r="98" spans="1:9" ht="16.5" x14ac:dyDescent="0.55000000000000004">
      <c r="A98" s="51" t="s">
        <v>63</v>
      </c>
      <c r="B98" s="53"/>
      <c r="C98" s="28">
        <f>(C88*10^6)/(I48*C90*C89^2)</f>
        <v>9.7520739064856699E-2</v>
      </c>
      <c r="D98" s="2"/>
      <c r="F98" s="51" t="s">
        <v>75</v>
      </c>
      <c r="G98" s="53"/>
      <c r="H98" s="28">
        <f>IF(H97&lt;1,"Resize",(H88*1000)/(0.9*H92*I47*H97))</f>
        <v>0.44246492394998055</v>
      </c>
      <c r="I98" s="20" t="s">
        <v>114</v>
      </c>
    </row>
    <row r="99" spans="1:9" ht="16.5" x14ac:dyDescent="0.55000000000000004">
      <c r="A99" s="51" t="s">
        <v>64</v>
      </c>
      <c r="B99" s="53"/>
      <c r="C99" s="35">
        <f>MIN(C95*(0.5+SQRT(0.25-(0.882*C98))), 0.95*C95)</f>
        <v>1013.5470501467654</v>
      </c>
      <c r="D99" s="13" t="s">
        <v>98</v>
      </c>
      <c r="F99" s="51" t="s">
        <v>76</v>
      </c>
      <c r="G99" s="53"/>
      <c r="H99" s="30">
        <f>0.08*(SQRT(I48))*H90/I47</f>
        <v>0.34904475746338182</v>
      </c>
      <c r="I99" s="20" t="s">
        <v>114</v>
      </c>
    </row>
    <row r="100" spans="1:9" ht="17.7" x14ac:dyDescent="0.75">
      <c r="A100" s="51" t="s">
        <v>111</v>
      </c>
      <c r="B100" s="53"/>
      <c r="C100" s="28">
        <f>C88*10^6/(0.87*I47*C99)</f>
        <v>3107.4377666567343</v>
      </c>
      <c r="D100" s="13" t="s">
        <v>98</v>
      </c>
    </row>
    <row r="101" spans="1:9" ht="17.7" x14ac:dyDescent="0.75">
      <c r="A101" s="51" t="s">
        <v>112</v>
      </c>
      <c r="B101" s="53"/>
      <c r="C101" s="28">
        <f>0.15/100*C90*C95</f>
        <v>672</v>
      </c>
      <c r="D101" s="13" t="s">
        <v>98</v>
      </c>
    </row>
    <row r="103" spans="1:9" x14ac:dyDescent="0.55000000000000004">
      <c r="A103" s="73" t="s">
        <v>83</v>
      </c>
      <c r="B103" s="74"/>
      <c r="C103" s="74"/>
      <c r="D103" s="74"/>
      <c r="E103" s="74"/>
      <c r="F103" s="74"/>
      <c r="G103" s="75"/>
    </row>
    <row r="104" spans="1:9" x14ac:dyDescent="0.55000000000000004">
      <c r="A104" s="76" t="s">
        <v>117</v>
      </c>
      <c r="B104" s="76"/>
      <c r="C104" s="76"/>
      <c r="D104" s="76" t="s">
        <v>118</v>
      </c>
      <c r="E104" s="76"/>
      <c r="F104" s="76"/>
      <c r="G104" s="76"/>
    </row>
    <row r="105" spans="1:9" ht="16.5" x14ac:dyDescent="0.55000000000000004">
      <c r="A105" s="8" t="s">
        <v>84</v>
      </c>
      <c r="B105" s="27">
        <f>MAX(C77,C78)</f>
        <v>1627.8883827468262</v>
      </c>
      <c r="C105" s="13" t="s">
        <v>114</v>
      </c>
      <c r="D105" s="68" t="s">
        <v>84</v>
      </c>
      <c r="E105" s="68"/>
      <c r="F105" s="27">
        <f>MAX(H77,H78)</f>
        <v>1066.8021374463328</v>
      </c>
      <c r="G105" s="13" t="s">
        <v>114</v>
      </c>
    </row>
    <row r="106" spans="1:9" x14ac:dyDescent="0.55000000000000004">
      <c r="A106" s="8" t="s">
        <v>89</v>
      </c>
      <c r="B106" s="37">
        <f>C67</f>
        <v>16</v>
      </c>
      <c r="C106" s="13"/>
      <c r="D106" s="68" t="s">
        <v>89</v>
      </c>
      <c r="E106" s="68"/>
      <c r="F106" s="37">
        <f>H67</f>
        <v>16</v>
      </c>
      <c r="G106" s="13" t="s">
        <v>15</v>
      </c>
    </row>
    <row r="107" spans="1:9" x14ac:dyDescent="0.55000000000000004">
      <c r="A107" s="8" t="s">
        <v>87</v>
      </c>
      <c r="B107" s="36">
        <v>100</v>
      </c>
      <c r="C107" s="13"/>
      <c r="D107" s="68" t="s">
        <v>87</v>
      </c>
      <c r="E107" s="68"/>
      <c r="F107" s="36">
        <v>175</v>
      </c>
      <c r="G107" s="13" t="s">
        <v>115</v>
      </c>
    </row>
    <row r="108" spans="1:9" ht="16.5" x14ac:dyDescent="0.55000000000000004">
      <c r="A108" s="8" t="s">
        <v>88</v>
      </c>
      <c r="B108" s="27">
        <f>PI()*B106^2/4*1000/B107</f>
        <v>2010.6192982974674</v>
      </c>
      <c r="C108" s="13" t="s">
        <v>114</v>
      </c>
      <c r="D108" s="68" t="s">
        <v>88</v>
      </c>
      <c r="E108" s="68"/>
      <c r="F108" s="27">
        <f>PI()*F106^2/4*1000/F107</f>
        <v>1148.9253133128386</v>
      </c>
      <c r="G108" s="13" t="s">
        <v>114</v>
      </c>
    </row>
    <row r="109" spans="1:9" x14ac:dyDescent="0.55000000000000004">
      <c r="A109" s="39"/>
      <c r="B109" s="13"/>
      <c r="C109" s="54"/>
      <c r="D109" s="55"/>
      <c r="E109" s="56"/>
      <c r="F109" s="13"/>
      <c r="G109" s="60"/>
    </row>
    <row r="110" spans="1:9" x14ac:dyDescent="0.55000000000000004">
      <c r="A110" s="40"/>
      <c r="B110" s="18" t="str">
        <f>IF(B105&lt;=B108,"PASS","RESIZE")</f>
        <v>PASS</v>
      </c>
      <c r="C110" s="57"/>
      <c r="D110" s="58"/>
      <c r="E110" s="59"/>
      <c r="F110" s="18" t="str">
        <f>IF(F105&lt;=F108,"PASS","RESIZE")</f>
        <v>PASS</v>
      </c>
      <c r="G110" s="61"/>
    </row>
    <row r="111" spans="1:9" x14ac:dyDescent="0.55000000000000004">
      <c r="A111" s="69" t="s">
        <v>90</v>
      </c>
      <c r="B111" s="70"/>
      <c r="C111" s="70"/>
      <c r="D111" s="70"/>
      <c r="E111" s="70"/>
      <c r="F111" s="70"/>
      <c r="G111" s="71"/>
    </row>
    <row r="112" spans="1:9" x14ac:dyDescent="0.55000000000000004">
      <c r="A112" s="72" t="s">
        <v>116</v>
      </c>
      <c r="B112" s="72"/>
      <c r="C112" s="72"/>
      <c r="D112" s="65"/>
      <c r="E112" s="62" t="s">
        <v>104</v>
      </c>
      <c r="F112" s="63"/>
      <c r="G112" s="64"/>
    </row>
    <row r="113" spans="1:8" ht="16.5" x14ac:dyDescent="0.55000000000000004">
      <c r="A113" s="8" t="s">
        <v>84</v>
      </c>
      <c r="B113" s="27">
        <f>MAX(C100,C101)</f>
        <v>3107.4377666567343</v>
      </c>
      <c r="C113" s="13" t="s">
        <v>98</v>
      </c>
      <c r="D113" s="65"/>
      <c r="E113" s="8" t="s">
        <v>100</v>
      </c>
      <c r="F113" s="28">
        <f>MAX(H98,H99)</f>
        <v>0.44246492394998055</v>
      </c>
      <c r="G113" s="13" t="s">
        <v>114</v>
      </c>
    </row>
    <row r="114" spans="1:8" x14ac:dyDescent="0.55000000000000004">
      <c r="A114" s="8" t="s">
        <v>85</v>
      </c>
      <c r="B114" s="32">
        <f>C91</f>
        <v>20</v>
      </c>
      <c r="C114" s="13" t="s">
        <v>115</v>
      </c>
      <c r="D114" s="65"/>
      <c r="E114" s="8" t="s">
        <v>85</v>
      </c>
      <c r="F114" s="17">
        <f>H93</f>
        <v>10</v>
      </c>
      <c r="G114" s="13" t="s">
        <v>15</v>
      </c>
    </row>
    <row r="115" spans="1:8" x14ac:dyDescent="0.55000000000000004">
      <c r="A115" s="8" t="s">
        <v>103</v>
      </c>
      <c r="B115" s="36">
        <v>10</v>
      </c>
      <c r="C115" s="13" t="s">
        <v>15</v>
      </c>
      <c r="D115" s="65"/>
      <c r="E115" s="8" t="s">
        <v>86</v>
      </c>
      <c r="F115" s="5">
        <v>200</v>
      </c>
      <c r="G115" s="13" t="s">
        <v>15</v>
      </c>
    </row>
    <row r="116" spans="1:8" ht="16.5" x14ac:dyDescent="0.55000000000000004">
      <c r="A116" s="8" t="s">
        <v>88</v>
      </c>
      <c r="B116" s="27">
        <f>PI()*B114^2/4*B115</f>
        <v>3141.5926535897934</v>
      </c>
      <c r="C116" s="38" t="s">
        <v>65</v>
      </c>
      <c r="D116" s="65"/>
      <c r="E116" s="8" t="s">
        <v>101</v>
      </c>
      <c r="F116" s="28">
        <f>2*(PI()*F114^2/4)/F115</f>
        <v>0.78539816339744828</v>
      </c>
      <c r="G116" s="38" t="s">
        <v>114</v>
      </c>
    </row>
    <row r="117" spans="1:8" x14ac:dyDescent="0.55000000000000004">
      <c r="A117" s="2"/>
      <c r="B117" s="18" t="str">
        <f>IF(B113&lt;=B116,"PASS","RESIZE")</f>
        <v>PASS</v>
      </c>
      <c r="C117" s="33"/>
      <c r="D117" s="65"/>
      <c r="E117" s="2"/>
      <c r="F117" s="18" t="str">
        <f>IF(F113&lt;=F116,"PASS","RESIZE")</f>
        <v>PASS</v>
      </c>
      <c r="G117" s="2"/>
    </row>
    <row r="120" spans="1:8" x14ac:dyDescent="0.55000000000000004">
      <c r="A120" s="41"/>
      <c r="B120" s="41"/>
      <c r="C120" s="41"/>
      <c r="D120" s="41"/>
      <c r="E120" s="41"/>
      <c r="F120" s="41"/>
      <c r="G120" s="41"/>
      <c r="H120" s="41"/>
    </row>
    <row r="121" spans="1:8" x14ac:dyDescent="0.55000000000000004">
      <c r="A121" s="41"/>
      <c r="B121" s="41"/>
      <c r="C121" s="41"/>
      <c r="D121" s="41"/>
      <c r="E121" s="41"/>
      <c r="F121" s="41"/>
      <c r="G121" s="41"/>
      <c r="H121" s="41"/>
    </row>
    <row r="122" spans="1:8" x14ac:dyDescent="0.55000000000000004">
      <c r="A122" s="41"/>
      <c r="B122" s="41"/>
      <c r="C122" s="41"/>
      <c r="D122" s="41">
        <f>B115</f>
        <v>10</v>
      </c>
      <c r="E122" s="42">
        <f>B114</f>
        <v>20</v>
      </c>
      <c r="F122" s="41"/>
      <c r="G122" s="41"/>
      <c r="H122" s="41"/>
    </row>
    <row r="123" spans="1:8" x14ac:dyDescent="0.55000000000000004">
      <c r="A123" s="41"/>
      <c r="B123" s="41"/>
      <c r="C123" s="41"/>
      <c r="D123" s="41"/>
      <c r="E123" s="41"/>
      <c r="F123" s="41"/>
      <c r="G123" s="41"/>
      <c r="H123" s="41"/>
    </row>
    <row r="124" spans="1:8" x14ac:dyDescent="0.55000000000000004">
      <c r="A124" s="41"/>
      <c r="B124" s="41"/>
      <c r="C124" s="41"/>
      <c r="D124" s="41"/>
      <c r="E124" s="41"/>
      <c r="F124" s="41"/>
      <c r="G124" s="41"/>
      <c r="H124" s="41"/>
    </row>
    <row r="125" spans="1:8" x14ac:dyDescent="0.55000000000000004">
      <c r="A125" s="41"/>
      <c r="B125" s="41"/>
      <c r="C125" s="41"/>
      <c r="D125" s="41"/>
      <c r="E125" s="41"/>
      <c r="F125" s="41"/>
      <c r="G125" s="41"/>
      <c r="H125" s="41"/>
    </row>
    <row r="126" spans="1:8" x14ac:dyDescent="0.55000000000000004">
      <c r="A126" s="41"/>
      <c r="B126" s="41"/>
      <c r="C126" s="41"/>
      <c r="D126" s="41">
        <f>F114</f>
        <v>10</v>
      </c>
      <c r="E126" s="42">
        <f>F115</f>
        <v>200</v>
      </c>
      <c r="F126" s="41"/>
      <c r="G126" s="41"/>
      <c r="H126" s="41"/>
    </row>
    <row r="127" spans="1:8" x14ac:dyDescent="0.55000000000000004">
      <c r="A127" s="41"/>
      <c r="B127" s="41"/>
      <c r="C127" s="41"/>
      <c r="D127" s="41"/>
      <c r="E127" s="41"/>
      <c r="F127" s="41"/>
      <c r="G127" s="41"/>
      <c r="H127" s="41"/>
    </row>
    <row r="128" spans="1:8" x14ac:dyDescent="0.55000000000000004">
      <c r="A128" s="41"/>
      <c r="B128" s="41"/>
      <c r="C128" s="41"/>
      <c r="D128" s="41"/>
      <c r="E128" s="41"/>
      <c r="F128" s="41"/>
      <c r="G128" s="41"/>
      <c r="H128" s="41"/>
    </row>
    <row r="129" spans="1:8" x14ac:dyDescent="0.55000000000000004">
      <c r="A129" s="41"/>
      <c r="B129" s="41">
        <f>B106</f>
        <v>16</v>
      </c>
      <c r="C129" s="42">
        <v>200</v>
      </c>
      <c r="D129" s="41"/>
      <c r="E129" s="41"/>
      <c r="F129" s="41">
        <f>F106</f>
        <v>16</v>
      </c>
      <c r="G129" s="42">
        <f>F107</f>
        <v>175</v>
      </c>
      <c r="H129" s="41"/>
    </row>
    <row r="130" spans="1:8" x14ac:dyDescent="0.55000000000000004">
      <c r="A130" s="41"/>
      <c r="B130" s="41"/>
      <c r="C130" s="41"/>
      <c r="D130" s="41"/>
      <c r="E130" s="41"/>
      <c r="F130" s="41"/>
      <c r="G130" s="41"/>
      <c r="H130" s="41"/>
    </row>
  </sheetData>
  <sheetProtection algorithmName="SHA-512" hashValue="jdF+KpeBs4ioerXD53rlK3vnDD71NRTd0Bi/qRKS3sBKm4/7EpAVEn8cNw1eUkmj5gTDDNWh/I3vYZzEq2MgBA==" saltValue="t/ltlNmZR3jaSDH2eHQW/w==" spinCount="100000" sheet="1" objects="1" scenarios="1"/>
  <mergeCells count="135">
    <mergeCell ref="A101:B101"/>
    <mergeCell ref="D7:E7"/>
    <mergeCell ref="G7:H7"/>
    <mergeCell ref="A1:C7"/>
    <mergeCell ref="D1:H2"/>
    <mergeCell ref="J1:K2"/>
    <mergeCell ref="D3:H4"/>
    <mergeCell ref="J3:K4"/>
    <mergeCell ref="D5:E5"/>
    <mergeCell ref="G5:H5"/>
    <mergeCell ref="I5:K7"/>
    <mergeCell ref="D6:E6"/>
    <mergeCell ref="G6:H6"/>
    <mergeCell ref="A90:B90"/>
    <mergeCell ref="F90:G90"/>
    <mergeCell ref="A33:E33"/>
    <mergeCell ref="G33:K33"/>
    <mergeCell ref="G35:I35"/>
    <mergeCell ref="G36:I36"/>
    <mergeCell ref="A97:B97"/>
    <mergeCell ref="A98:B98"/>
    <mergeCell ref="A99:B99"/>
    <mergeCell ref="A40:C40"/>
    <mergeCell ref="A41:C41"/>
    <mergeCell ref="A39:E39"/>
    <mergeCell ref="F47:H47"/>
    <mergeCell ref="A34:E34"/>
    <mergeCell ref="A35:C35"/>
    <mergeCell ref="A36:C36"/>
    <mergeCell ref="A37:C37"/>
    <mergeCell ref="A38:C38"/>
    <mergeCell ref="G42:I42"/>
    <mergeCell ref="G43:I43"/>
    <mergeCell ref="G37:K37"/>
    <mergeCell ref="G39:I39"/>
    <mergeCell ref="B45:D45"/>
    <mergeCell ref="A53:D53"/>
    <mergeCell ref="A57:D57"/>
    <mergeCell ref="A54:B54"/>
    <mergeCell ref="A55:B55"/>
    <mergeCell ref="A58:B58"/>
    <mergeCell ref="A59:B59"/>
    <mergeCell ref="A62:D62"/>
    <mergeCell ref="A63:D63"/>
    <mergeCell ref="A42:C42"/>
    <mergeCell ref="A43:C43"/>
    <mergeCell ref="B48:D48"/>
    <mergeCell ref="G38:I38"/>
    <mergeCell ref="G40:I40"/>
    <mergeCell ref="G41:I41"/>
    <mergeCell ref="F49:J49"/>
    <mergeCell ref="F52:J52"/>
    <mergeCell ref="F62:I62"/>
    <mergeCell ref="F63:I63"/>
    <mergeCell ref="F65:G65"/>
    <mergeCell ref="F45:J45"/>
    <mergeCell ref="F46:H46"/>
    <mergeCell ref="F84:G84"/>
    <mergeCell ref="A77:B77"/>
    <mergeCell ref="F77:G77"/>
    <mergeCell ref="A78:B78"/>
    <mergeCell ref="F78:G78"/>
    <mergeCell ref="A79:D79"/>
    <mergeCell ref="A80:D80"/>
    <mergeCell ref="A82:D82"/>
    <mergeCell ref="A81:B81"/>
    <mergeCell ref="A83:B83"/>
    <mergeCell ref="A84:B84"/>
    <mergeCell ref="F79:I79"/>
    <mergeCell ref="F80:I80"/>
    <mergeCell ref="F81:G81"/>
    <mergeCell ref="F82:I82"/>
    <mergeCell ref="F83:G83"/>
    <mergeCell ref="A64:B64"/>
    <mergeCell ref="F64:G64"/>
    <mergeCell ref="F66:G66"/>
    <mergeCell ref="A67:B67"/>
    <mergeCell ref="F67:G67"/>
    <mergeCell ref="A68:B68"/>
    <mergeCell ref="F68:G68"/>
    <mergeCell ref="A76:B76"/>
    <mergeCell ref="F76:G76"/>
    <mergeCell ref="A72:B72"/>
    <mergeCell ref="F72:G72"/>
    <mergeCell ref="A74:B74"/>
    <mergeCell ref="F74:G74"/>
    <mergeCell ref="A75:B75"/>
    <mergeCell ref="F75:G75"/>
    <mergeCell ref="A65:B65"/>
    <mergeCell ref="A66:B66"/>
    <mergeCell ref="A69:B69"/>
    <mergeCell ref="F69:G69"/>
    <mergeCell ref="A70:B70"/>
    <mergeCell ref="F70:G70"/>
    <mergeCell ref="A71:B71"/>
    <mergeCell ref="F71:G71"/>
    <mergeCell ref="F89:G89"/>
    <mergeCell ref="F91:G91"/>
    <mergeCell ref="F95:G95"/>
    <mergeCell ref="F96:G96"/>
    <mergeCell ref="F92:G92"/>
    <mergeCell ref="A86:D86"/>
    <mergeCell ref="A87:D87"/>
    <mergeCell ref="A88:B88"/>
    <mergeCell ref="A100:B100"/>
    <mergeCell ref="A94:B94"/>
    <mergeCell ref="A95:B95"/>
    <mergeCell ref="A89:B89"/>
    <mergeCell ref="A91:B91"/>
    <mergeCell ref="A92:B92"/>
    <mergeCell ref="A93:B93"/>
    <mergeCell ref="F48:H48"/>
    <mergeCell ref="C109:E110"/>
    <mergeCell ref="G109:G110"/>
    <mergeCell ref="E112:G112"/>
    <mergeCell ref="D112:D117"/>
    <mergeCell ref="F18:G18"/>
    <mergeCell ref="G14:H14"/>
    <mergeCell ref="D105:E105"/>
    <mergeCell ref="D106:E106"/>
    <mergeCell ref="D107:E107"/>
    <mergeCell ref="D108:E108"/>
    <mergeCell ref="A111:G111"/>
    <mergeCell ref="A112:C112"/>
    <mergeCell ref="A103:G103"/>
    <mergeCell ref="A104:C104"/>
    <mergeCell ref="D104:G104"/>
    <mergeCell ref="F98:G98"/>
    <mergeCell ref="F86:I86"/>
    <mergeCell ref="F99:G99"/>
    <mergeCell ref="F93:G93"/>
    <mergeCell ref="F87:I87"/>
    <mergeCell ref="F94:I94"/>
    <mergeCell ref="F97:G97"/>
    <mergeCell ref="F88:G88"/>
  </mergeCells>
  <pageMargins left="0.7" right="0.7" top="0.75" bottom="0.75" header="0.3" footer="0.3"/>
  <pageSetup paperSize="9" scale="73" fitToHeight="0" orientation="portrait" r:id="rId1"/>
  <rowBreaks count="1" manualBreakCount="1">
    <brk id="118" max="16383" man="1"/>
  </rowBreaks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Victor</cp:lastModifiedBy>
  <cp:lastPrinted>2023-08-29T06:45:08Z</cp:lastPrinted>
  <dcterms:created xsi:type="dcterms:W3CDTF">2023-08-28T05:59:28Z</dcterms:created>
  <dcterms:modified xsi:type="dcterms:W3CDTF">2023-08-29T12:29:02Z</dcterms:modified>
</cp:coreProperties>
</file>