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\Desktop\My Articles\"/>
    </mc:Choice>
  </mc:AlternateContent>
  <xr:revisionPtr revIDLastSave="0" documentId="13_ncr:1_{E606B4A9-3D3E-4E11-A1A1-599584EA0C4A}" xr6:coauthVersionLast="47" xr6:coauthVersionMax="47" xr10:uidLastSave="{00000000-0000-0000-0000-000000000000}"/>
  <workbookProtection workbookAlgorithmName="SHA-512" workbookHashValue="J4v9VAVH5r76zYiPNid1tFKsb466NkAzaMxxsVPOekv4bZ4D3B+7XMST6EU3b/+4mmBjcxKyiGObYiSSVOGjDg==" workbookSaltValue="ynGKC9j2ELBA3N7epikUcA==" workbookSpinCount="100000" lockStructure="1"/>
  <bookViews>
    <workbookView xWindow="-96" yWindow="-96" windowWidth="23232" windowHeight="12552" xr2:uid="{CEA5CD09-1148-4E8B-B2CA-A5F548B4B9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4" i="1" l="1"/>
  <c r="F196" i="1" s="1"/>
  <c r="F189" i="1"/>
  <c r="F202" i="1"/>
  <c r="F204" i="1" s="1"/>
  <c r="B202" i="1"/>
  <c r="B204" i="1" s="1"/>
  <c r="B194" i="1"/>
  <c r="B196" i="1" s="1"/>
  <c r="F187" i="1"/>
  <c r="B187" i="1"/>
  <c r="B189" i="1" s="1"/>
  <c r="C174" i="1"/>
  <c r="G173" i="1"/>
  <c r="G172" i="1" s="1"/>
  <c r="C171" i="1"/>
  <c r="G171" i="1" s="1"/>
  <c r="G180" i="1" s="1"/>
  <c r="H158" i="1"/>
  <c r="H157" i="1"/>
  <c r="C158" i="1"/>
  <c r="C157" i="1"/>
  <c r="H164" i="1" s="1"/>
  <c r="H152" i="1"/>
  <c r="C152" i="1"/>
  <c r="G138" i="1"/>
  <c r="C137" i="1"/>
  <c r="G137" i="1" s="1"/>
  <c r="G146" i="1" s="1"/>
  <c r="C134" i="1"/>
  <c r="C180" i="1" l="1"/>
  <c r="C164" i="1"/>
  <c r="C146" i="1"/>
  <c r="H71" i="1" l="1"/>
  <c r="C102" i="1" s="1"/>
  <c r="H70" i="1"/>
  <c r="F66" i="1"/>
  <c r="F65" i="1"/>
  <c r="F64" i="1"/>
  <c r="C80" i="1" s="1"/>
  <c r="F56" i="1"/>
  <c r="F55" i="1"/>
  <c r="C76" i="1" s="1"/>
  <c r="F53" i="1"/>
  <c r="F54" i="1" s="1"/>
  <c r="F50" i="1"/>
  <c r="F63" i="1" s="1"/>
  <c r="J107" i="1" l="1"/>
  <c r="J106" i="1"/>
  <c r="C84" i="1"/>
  <c r="H96" i="1"/>
  <c r="H80" i="1"/>
  <c r="H76" i="1"/>
  <c r="C96" i="1"/>
  <c r="C100" i="1"/>
  <c r="C101" i="1"/>
  <c r="C92" i="1"/>
  <c r="H92" i="1"/>
  <c r="C85" i="1"/>
  <c r="H85" i="1" s="1"/>
  <c r="H84" i="1" l="1"/>
  <c r="H86" i="1" s="1"/>
  <c r="C86" i="1"/>
  <c r="C170" i="1"/>
  <c r="C169" i="1"/>
  <c r="C177" i="1" s="1"/>
  <c r="C178" i="1" s="1"/>
  <c r="C179" i="1" s="1"/>
  <c r="B201" i="1" s="1"/>
  <c r="C204" i="1" s="1"/>
  <c r="G133" i="1"/>
  <c r="C135" i="1" s="1"/>
  <c r="C143" i="1" s="1"/>
  <c r="G177" i="1" l="1"/>
  <c r="G178" i="1" s="1"/>
  <c r="G179" i="1"/>
  <c r="F201" i="1" s="1"/>
  <c r="G204" i="1" s="1"/>
  <c r="C144" i="1"/>
  <c r="C145" i="1" s="1"/>
  <c r="B186" i="1" s="1"/>
  <c r="C189" i="1" s="1"/>
  <c r="G144" i="1"/>
  <c r="C136" i="1"/>
  <c r="F51" i="1"/>
  <c r="F49" i="1"/>
  <c r="F58" i="1"/>
  <c r="F57" i="1"/>
  <c r="F61" i="1"/>
  <c r="G145" i="1" l="1"/>
  <c r="F186" i="1" s="1"/>
  <c r="G189" i="1" s="1"/>
  <c r="G143" i="1"/>
  <c r="C95" i="1"/>
  <c r="C79" i="1"/>
  <c r="C77" i="1"/>
  <c r="C93" i="1"/>
  <c r="C81" i="1"/>
  <c r="C97" i="1"/>
  <c r="F60" i="1"/>
  <c r="F59" i="1"/>
  <c r="C94" i="1" s="1"/>
  <c r="F52" i="1"/>
  <c r="F62" i="1"/>
  <c r="H93" i="1" l="1"/>
  <c r="H77" i="1"/>
  <c r="H95" i="1"/>
  <c r="H79" i="1"/>
  <c r="H97" i="1"/>
  <c r="C98" i="1"/>
  <c r="C78" i="1"/>
  <c r="C82" i="1" s="1"/>
  <c r="H94" i="1" l="1"/>
  <c r="H78" i="1"/>
  <c r="C87" i="1"/>
  <c r="D87" i="1"/>
  <c r="H87" i="1" l="1"/>
  <c r="I87" i="1" s="1"/>
  <c r="J108" i="1"/>
  <c r="J109" i="1"/>
  <c r="H82" i="1"/>
  <c r="H98" i="1"/>
  <c r="H99" i="1" s="1"/>
  <c r="H101" i="1" s="1"/>
  <c r="H151" i="1" l="1"/>
  <c r="H100" i="1"/>
  <c r="H102" i="1" s="1"/>
  <c r="J111" i="1"/>
  <c r="C151" i="1" s="1"/>
  <c r="J110" i="1"/>
  <c r="H161" i="1" l="1"/>
  <c r="H162" i="1" s="1"/>
  <c r="H163" i="1" s="1"/>
  <c r="F193" i="1" s="1"/>
  <c r="G196" i="1" s="1"/>
  <c r="C161" i="1"/>
  <c r="C162" i="1" s="1"/>
  <c r="C163" i="1" s="1"/>
  <c r="B193" i="1" s="1"/>
  <c r="C196" i="1" s="1"/>
</calcChain>
</file>

<file path=xl/sharedStrings.xml><?xml version="1.0" encoding="utf-8"?>
<sst xmlns="http://schemas.openxmlformats.org/spreadsheetml/2006/main" count="438" uniqueCount="216">
  <si>
    <t>Structures Centre</t>
  </si>
  <si>
    <t xml:space="preserve">PROJECT: PROPOSED RESIDENTIAL DEVELOPMENT  </t>
  </si>
  <si>
    <t>SHEET NO: S01</t>
  </si>
  <si>
    <t xml:space="preserve">CALS: </t>
  </si>
  <si>
    <t>DATE:</t>
  </si>
  <si>
    <t xml:space="preserve">CHECKED:  </t>
  </si>
  <si>
    <t xml:space="preserve">APPROVED:  </t>
  </si>
  <si>
    <t xml:space="preserve">DATE: </t>
  </si>
  <si>
    <t>mm</t>
  </si>
  <si>
    <t xml:space="preserve">RETAINING WALL DETAILS </t>
  </si>
  <si>
    <r>
      <t>Stem height; h</t>
    </r>
    <r>
      <rPr>
        <vertAlign val="subscript"/>
        <sz val="11"/>
        <color rgb="FF3F3F3F"/>
        <rFont val="Calibri"/>
        <family val="2"/>
        <scheme val="minor"/>
      </rPr>
      <t>stem</t>
    </r>
  </si>
  <si>
    <r>
      <t>Stem thickness; t</t>
    </r>
    <r>
      <rPr>
        <vertAlign val="subscript"/>
        <sz val="11"/>
        <color rgb="FF3F3F3F"/>
        <rFont val="Calibri"/>
        <family val="2"/>
        <scheme val="minor"/>
      </rPr>
      <t>stem</t>
    </r>
  </si>
  <si>
    <r>
      <t>Counterfort spacing; s</t>
    </r>
    <r>
      <rPr>
        <vertAlign val="subscript"/>
        <sz val="11"/>
        <color rgb="FF3F3F3F"/>
        <rFont val="Calibri"/>
        <family val="2"/>
        <scheme val="minor"/>
      </rPr>
      <t>cfort</t>
    </r>
  </si>
  <si>
    <r>
      <t>counterfort width; b</t>
    </r>
    <r>
      <rPr>
        <vertAlign val="subscript"/>
        <sz val="11"/>
        <color rgb="FF3F3F3F"/>
        <rFont val="Calibri"/>
        <family val="2"/>
        <scheme val="minor"/>
      </rPr>
      <t>cfort</t>
    </r>
  </si>
  <si>
    <r>
      <t>Toe length; l</t>
    </r>
    <r>
      <rPr>
        <vertAlign val="subscript"/>
        <sz val="11"/>
        <color rgb="FF3F3F3F"/>
        <rFont val="Calibri"/>
        <family val="2"/>
        <scheme val="minor"/>
      </rPr>
      <t>toe</t>
    </r>
  </si>
  <si>
    <r>
      <t>Heel length; l</t>
    </r>
    <r>
      <rPr>
        <vertAlign val="subscript"/>
        <sz val="11"/>
        <color rgb="FF3F3F3F"/>
        <rFont val="Calibri"/>
        <family val="2"/>
        <scheme val="minor"/>
      </rPr>
      <t>heel</t>
    </r>
  </si>
  <si>
    <r>
      <t>Base thiknees; t</t>
    </r>
    <r>
      <rPr>
        <vertAlign val="subscript"/>
        <sz val="11"/>
        <color rgb="FF3F3F3F"/>
        <rFont val="Calibri"/>
        <family val="2"/>
        <scheme val="minor"/>
      </rPr>
      <t>base</t>
    </r>
  </si>
  <si>
    <t xml:space="preserve">JOB REF: </t>
  </si>
  <si>
    <t xml:space="preserve">MATERIAL PROPERTIES </t>
  </si>
  <si>
    <r>
      <t xml:space="preserve">Soil density </t>
    </r>
    <r>
      <rPr>
        <sz val="11"/>
        <color rgb="FF3F3F3F"/>
        <rFont val="Calibri"/>
        <family val="2"/>
      </rPr>
      <t>γ</t>
    </r>
    <r>
      <rPr>
        <vertAlign val="subscript"/>
        <sz val="11"/>
        <color rgb="FF3F3F3F"/>
        <rFont val="Calibri"/>
        <family val="2"/>
      </rPr>
      <t>s</t>
    </r>
  </si>
  <si>
    <t xml:space="preserve">RETAINING WALL GEOMETRY </t>
  </si>
  <si>
    <t>Moist soil height</t>
  </si>
  <si>
    <t>Length of surcharge</t>
  </si>
  <si>
    <t>Effective height of wall</t>
  </si>
  <si>
    <t>Area of wall stem</t>
  </si>
  <si>
    <t xml:space="preserve">Area of counterfort </t>
  </si>
  <si>
    <t>Area of wall base</t>
  </si>
  <si>
    <t xml:space="preserve">      -distance to vertical component </t>
  </si>
  <si>
    <t xml:space="preserve">      -distance to horizontal component </t>
  </si>
  <si>
    <t xml:space="preserve">     -distance to vertical component </t>
  </si>
  <si>
    <t xml:space="preserve">     -distance to horizontal component </t>
  </si>
  <si>
    <t xml:space="preserve">Base length; </t>
  </si>
  <si>
    <t xml:space="preserve">EQU PARTIAL FACTORS </t>
  </si>
  <si>
    <t>M2 PARTIAL FACTORS</t>
  </si>
  <si>
    <t>γγs</t>
  </si>
  <si>
    <r>
      <t>γ</t>
    </r>
    <r>
      <rPr>
        <vertAlign val="subscript"/>
        <sz val="11"/>
        <color rgb="FF3F3F3F"/>
        <rFont val="Calibri"/>
        <family val="2"/>
        <scheme val="minor"/>
      </rPr>
      <t xml:space="preserve">g,unfav. </t>
    </r>
  </si>
  <si>
    <r>
      <t>γ</t>
    </r>
    <r>
      <rPr>
        <vertAlign val="subscript"/>
        <sz val="11"/>
        <color rgb="FF3F3F3F"/>
        <rFont val="Calibri"/>
        <family val="2"/>
        <scheme val="minor"/>
      </rPr>
      <t>g,fav</t>
    </r>
  </si>
  <si>
    <r>
      <t>γ</t>
    </r>
    <r>
      <rPr>
        <vertAlign val="subscript"/>
        <sz val="11"/>
        <color rgb="FF3F3F3F"/>
        <rFont val="Calibri"/>
        <family val="2"/>
        <scheme val="minor"/>
      </rPr>
      <t>q,unfav.</t>
    </r>
  </si>
  <si>
    <r>
      <t>γ</t>
    </r>
    <r>
      <rPr>
        <vertAlign val="subscript"/>
        <sz val="11"/>
        <color rgb="FF3F3F3F"/>
        <rFont val="Calibri"/>
        <family val="2"/>
        <scheme val="minor"/>
      </rPr>
      <t>q,fav.</t>
    </r>
  </si>
  <si>
    <t>STR PARTIAL FACTORS</t>
  </si>
  <si>
    <t>γg</t>
  </si>
  <si>
    <t>γq</t>
  </si>
  <si>
    <t>γØ'</t>
  </si>
  <si>
    <t>deg</t>
  </si>
  <si>
    <t>Mpa</t>
  </si>
  <si>
    <t>RANKINE COEFFICIENT OF PRESSURE</t>
  </si>
  <si>
    <t>SLIDING CHECK</t>
  </si>
  <si>
    <t xml:space="preserve">Resisting Forces </t>
  </si>
  <si>
    <t>Counterfort</t>
  </si>
  <si>
    <t xml:space="preserve">Wall base </t>
  </si>
  <si>
    <t xml:space="preserve">Wall stem </t>
  </si>
  <si>
    <t xml:space="preserve">Surcharge </t>
  </si>
  <si>
    <t>Backfill</t>
  </si>
  <si>
    <t>Area of backfill</t>
  </si>
  <si>
    <t>Area of frontfill</t>
  </si>
  <si>
    <r>
      <t>Height of backfill; h</t>
    </r>
    <r>
      <rPr>
        <vertAlign val="subscript"/>
        <sz val="11"/>
        <color rgb="FF3F3F3F"/>
        <rFont val="Calibri"/>
        <family val="2"/>
        <scheme val="minor"/>
      </rPr>
      <t>ret</t>
    </r>
  </si>
  <si>
    <r>
      <t>Height of frontfill; h</t>
    </r>
    <r>
      <rPr>
        <vertAlign val="subscript"/>
        <sz val="11"/>
        <color rgb="FF3F3F3F"/>
        <rFont val="Calibri"/>
        <family val="2"/>
        <scheme val="minor"/>
      </rPr>
      <t>pass</t>
    </r>
  </si>
  <si>
    <t>Frontfill</t>
  </si>
  <si>
    <t xml:space="preserve">Sliding Force </t>
  </si>
  <si>
    <t xml:space="preserve">OVERTURNING CHECK </t>
  </si>
  <si>
    <t xml:space="preserve">Restoring Moment </t>
  </si>
  <si>
    <t>Wall base</t>
  </si>
  <si>
    <t>Surcharge</t>
  </si>
  <si>
    <t>kN.m</t>
  </si>
  <si>
    <t xml:space="preserve">Overturning Moment </t>
  </si>
  <si>
    <t>Overturning Result</t>
  </si>
  <si>
    <t>Sliding Result</t>
  </si>
  <si>
    <t xml:space="preserve">Vertical Loads </t>
  </si>
  <si>
    <t xml:space="preserve">Out of Balance Moment </t>
  </si>
  <si>
    <t>M</t>
  </si>
  <si>
    <t xml:space="preserve">Horizontal Loads </t>
  </si>
  <si>
    <t xml:space="preserve">Eccentricity </t>
  </si>
  <si>
    <t xml:space="preserve">Pressure at Toe </t>
  </si>
  <si>
    <t>e</t>
  </si>
  <si>
    <t xml:space="preserve">Pressure Result </t>
  </si>
  <si>
    <t xml:space="preserve">STRUCTURE: DESIGNING A COUNTERFORT RETAINING WALL </t>
  </si>
  <si>
    <t>Input</t>
  </si>
  <si>
    <t xml:space="preserve">Design Moment MEd </t>
  </si>
  <si>
    <t>Cover to tensile bar; c</t>
  </si>
  <si>
    <t>Cover to compr. bar; c'</t>
  </si>
  <si>
    <t>Eff. depth to tensile bar; d</t>
  </si>
  <si>
    <t>Tensile bar; Φ</t>
  </si>
  <si>
    <t>Eff. depth to compr. bar; d'</t>
  </si>
  <si>
    <t>Compression bar; Φ'</t>
  </si>
  <si>
    <t xml:space="preserve">Output </t>
  </si>
  <si>
    <t>k'</t>
  </si>
  <si>
    <t>k</t>
  </si>
  <si>
    <t>z</t>
  </si>
  <si>
    <t>Ast, req</t>
  </si>
  <si>
    <t>Support Design Moment</t>
  </si>
  <si>
    <t xml:space="preserve">Span Design Moment </t>
  </si>
  <si>
    <t>FLEXURAL DESIGN - STEM</t>
  </si>
  <si>
    <t>Output - Span</t>
  </si>
  <si>
    <t>Output - Support</t>
  </si>
  <si>
    <t>Ast,req</t>
  </si>
  <si>
    <t>Ast,min</t>
  </si>
  <si>
    <t xml:space="preserve">FLEXURAL DESIGN - HEEL </t>
  </si>
  <si>
    <t>Overall depth of wall</t>
  </si>
  <si>
    <t>Overall depth of Base</t>
  </si>
  <si>
    <t>Cover to compr. Bar c'</t>
  </si>
  <si>
    <t>Eff depth (tensile bar); d</t>
  </si>
  <si>
    <t>Eff depth (compr. bar); d</t>
  </si>
  <si>
    <t xml:space="preserve">FLEXURAL DESIGN - TOE </t>
  </si>
  <si>
    <t>FLEXURAL DESIGN - COUNTERFORT</t>
  </si>
  <si>
    <t>Design Moment @ Base</t>
  </si>
  <si>
    <t>Output - Base</t>
  </si>
  <si>
    <t xml:space="preserve">REBAR SUMMARY </t>
  </si>
  <si>
    <t xml:space="preserve">Wall Stem </t>
  </si>
  <si>
    <t xml:space="preserve">Span </t>
  </si>
  <si>
    <t xml:space="preserve">Bar Size </t>
  </si>
  <si>
    <t>Support</t>
  </si>
  <si>
    <t xml:space="preserve">Wall Toe </t>
  </si>
  <si>
    <t>Bar Size</t>
  </si>
  <si>
    <t>Spacing</t>
  </si>
  <si>
    <t xml:space="preserve">Spacing </t>
  </si>
  <si>
    <t xml:space="preserve">Wall Heel </t>
  </si>
  <si>
    <t>Counterforts</t>
  </si>
  <si>
    <t>Base</t>
  </si>
  <si>
    <t>Mid-height</t>
  </si>
  <si>
    <t>Steel Yield Strength; fyk</t>
  </si>
  <si>
    <t>Concrete Strength;  fck</t>
  </si>
  <si>
    <t xml:space="preserve">Characteritsic friction angle; δr,k  </t>
  </si>
  <si>
    <t>Charateristics shear resistance angle; Ø'rk</t>
  </si>
  <si>
    <r>
      <t xml:space="preserve">Concrete unit weight </t>
    </r>
    <r>
      <rPr>
        <sz val="11"/>
        <color rgb="FF3F3F3F"/>
        <rFont val="Calibri"/>
        <family val="2"/>
      </rPr>
      <t>γ</t>
    </r>
    <r>
      <rPr>
        <vertAlign val="subscript"/>
        <sz val="11"/>
        <color rgb="FF3F3F3F"/>
        <rFont val="Calibri"/>
        <family val="2"/>
      </rPr>
      <t>c</t>
    </r>
  </si>
  <si>
    <t>kN/m</t>
  </si>
  <si>
    <t xml:space="preserve">ADDITIONAL LOADING </t>
  </si>
  <si>
    <t>Surcharge; q</t>
  </si>
  <si>
    <t>kN.m/m</t>
  </si>
  <si>
    <t>RETAINING WALL ANALYSIS</t>
  </si>
  <si>
    <t xml:space="preserve">RETAINING WALL DESIGN </t>
  </si>
  <si>
    <t>PRESSURE CHECK @ SLS</t>
  </si>
  <si>
    <t xml:space="preserve">Boundary Conditions </t>
  </si>
  <si>
    <t>Slab Aspect Ratio</t>
  </si>
  <si>
    <t xml:space="preserve">Three Edge Continous </t>
  </si>
  <si>
    <t xml:space="preserve">    -Positive Moment in Span</t>
  </si>
  <si>
    <t xml:space="preserve">    -Negative Moment in Support</t>
  </si>
  <si>
    <t>Equivalent UDL Pressure</t>
  </si>
  <si>
    <t>Ly/Lx</t>
  </si>
  <si>
    <t>α+</t>
  </si>
  <si>
    <t>α-</t>
  </si>
  <si>
    <t>Design Moment @ 1m-Base</t>
  </si>
  <si>
    <t>Output - 1m-Base</t>
  </si>
  <si>
    <t>Overall depth of wall @ Base</t>
  </si>
  <si>
    <t>Overall depth @ 1m - Base</t>
  </si>
  <si>
    <t>Eff. depth ; dbase</t>
  </si>
  <si>
    <t>Eff. depth d1-base</t>
  </si>
  <si>
    <t>Links Φ'</t>
  </si>
  <si>
    <t>Width of counterfort; b</t>
  </si>
  <si>
    <t>No</t>
  </si>
  <si>
    <r>
      <t>As,req; mm</t>
    </r>
    <r>
      <rPr>
        <vertAlign val="superscript"/>
        <sz val="11"/>
        <color rgb="FF3F3F3F"/>
        <rFont val="Calibri"/>
        <family val="2"/>
        <scheme val="minor"/>
      </rPr>
      <t>2</t>
    </r>
  </si>
  <si>
    <r>
      <t>mm</t>
    </r>
    <r>
      <rPr>
        <vertAlign val="superscript"/>
        <sz val="11"/>
        <color rgb="FF3F3F3F"/>
        <rFont val="Calibri"/>
        <family val="2"/>
        <scheme val="minor"/>
      </rPr>
      <t>2</t>
    </r>
  </si>
  <si>
    <r>
      <t>A</t>
    </r>
    <r>
      <rPr>
        <vertAlign val="subscript"/>
        <sz val="11"/>
        <color rgb="FF3F3F3F"/>
        <rFont val="Calibri"/>
        <family val="2"/>
        <scheme val="minor"/>
      </rPr>
      <t>s,req</t>
    </r>
    <r>
      <rPr>
        <sz val="11"/>
        <color rgb="FF3F3F3F"/>
        <rFont val="Calibri"/>
        <family val="2"/>
        <scheme val="minor"/>
      </rPr>
      <t>; mm</t>
    </r>
    <r>
      <rPr>
        <vertAlign val="superscript"/>
        <sz val="11"/>
        <color rgb="FF3F3F3F"/>
        <rFont val="Calibri"/>
        <family val="2"/>
        <scheme val="minor"/>
      </rPr>
      <t>2</t>
    </r>
    <r>
      <rPr>
        <sz val="11"/>
        <color rgb="FF3F3F3F"/>
        <rFont val="Calibri"/>
        <family val="2"/>
        <scheme val="minor"/>
      </rPr>
      <t>/m</t>
    </r>
  </si>
  <si>
    <r>
      <t>A</t>
    </r>
    <r>
      <rPr>
        <vertAlign val="subscript"/>
        <sz val="11"/>
        <color rgb="FF3F3F3F"/>
        <rFont val="Calibri"/>
        <family val="2"/>
        <scheme val="minor"/>
      </rPr>
      <t>s,prov</t>
    </r>
    <r>
      <rPr>
        <sz val="11"/>
        <color rgb="FF3F3F3F"/>
        <rFont val="Calibri"/>
        <family val="2"/>
        <scheme val="minor"/>
      </rPr>
      <t>; mm</t>
    </r>
    <r>
      <rPr>
        <vertAlign val="superscript"/>
        <sz val="11"/>
        <color rgb="FF3F3F3F"/>
        <rFont val="Calibri"/>
        <family val="2"/>
        <scheme val="minor"/>
      </rPr>
      <t>2</t>
    </r>
    <r>
      <rPr>
        <sz val="11"/>
        <color rgb="FF3F3F3F"/>
        <rFont val="Calibri"/>
        <family val="2"/>
        <scheme val="minor"/>
      </rPr>
      <t>/m</t>
    </r>
  </si>
  <si>
    <r>
      <t>A</t>
    </r>
    <r>
      <rPr>
        <vertAlign val="subscript"/>
        <sz val="11"/>
        <color rgb="FF3F3F3F"/>
        <rFont val="Calibri"/>
        <family val="2"/>
        <scheme val="minor"/>
      </rPr>
      <t>s,req</t>
    </r>
    <r>
      <rPr>
        <sz val="11"/>
        <color rgb="FF3F3F3F"/>
        <rFont val="Calibri"/>
        <family val="2"/>
        <scheme val="minor"/>
      </rPr>
      <t>; mm</t>
    </r>
    <r>
      <rPr>
        <vertAlign val="superscript"/>
        <sz val="11"/>
        <color rgb="FF3F3F3F"/>
        <rFont val="Calibri"/>
        <family val="2"/>
        <scheme val="minor"/>
      </rPr>
      <t>2</t>
    </r>
  </si>
  <si>
    <r>
      <t>A</t>
    </r>
    <r>
      <rPr>
        <vertAlign val="subscript"/>
        <sz val="11"/>
        <color rgb="FF3F3F3F"/>
        <rFont val="Calibri"/>
        <family val="2"/>
        <scheme val="minor"/>
      </rPr>
      <t>s,prov</t>
    </r>
    <r>
      <rPr>
        <sz val="11"/>
        <color rgb="FF3F3F3F"/>
        <rFont val="Calibri"/>
        <family val="2"/>
        <scheme val="minor"/>
      </rPr>
      <t>; mm</t>
    </r>
    <r>
      <rPr>
        <vertAlign val="superscript"/>
        <sz val="11"/>
        <color rgb="FF3F3F3F"/>
        <rFont val="Calibri"/>
        <family val="2"/>
        <scheme val="minor"/>
      </rPr>
      <t>2</t>
    </r>
  </si>
  <si>
    <r>
      <t>A</t>
    </r>
    <r>
      <rPr>
        <vertAlign val="subscript"/>
        <sz val="11"/>
        <color rgb="FF3F3F3F"/>
        <rFont val="Calibri"/>
        <family val="2"/>
        <scheme val="minor"/>
      </rPr>
      <t>st, req</t>
    </r>
  </si>
  <si>
    <r>
      <t>A</t>
    </r>
    <r>
      <rPr>
        <vertAlign val="subscript"/>
        <sz val="11"/>
        <color rgb="FF3F3F3F"/>
        <rFont val="Calibri"/>
        <family val="2"/>
        <scheme val="minor"/>
      </rPr>
      <t>st,min</t>
    </r>
  </si>
  <si>
    <r>
      <t>A</t>
    </r>
    <r>
      <rPr>
        <vertAlign val="subscript"/>
        <sz val="11"/>
        <color rgb="FF3F3F3F"/>
        <rFont val="Calibri"/>
        <family val="2"/>
        <scheme val="minor"/>
      </rPr>
      <t>st,req</t>
    </r>
  </si>
  <si>
    <r>
      <t>mm</t>
    </r>
    <r>
      <rPr>
        <vertAlign val="superscript"/>
        <sz val="11"/>
        <color rgb="FF3F3F3F"/>
        <rFont val="Calibri"/>
        <family val="2"/>
        <scheme val="minor"/>
      </rPr>
      <t>2</t>
    </r>
    <r>
      <rPr>
        <sz val="11"/>
        <color rgb="FF3F3F3F"/>
        <rFont val="Calibri"/>
        <family val="2"/>
        <scheme val="minor"/>
      </rPr>
      <t>/m</t>
    </r>
  </si>
  <si>
    <r>
      <t>kN/m</t>
    </r>
    <r>
      <rPr>
        <vertAlign val="superscript"/>
        <sz val="11"/>
        <color rgb="FF3F3F3F"/>
        <rFont val="Calibri"/>
        <family val="2"/>
        <scheme val="minor"/>
      </rPr>
      <t>2</t>
    </r>
  </si>
  <si>
    <r>
      <t>P</t>
    </r>
    <r>
      <rPr>
        <vertAlign val="subscript"/>
        <sz val="11"/>
        <color rgb="FF3F3F3F"/>
        <rFont val="Calibri"/>
        <family val="2"/>
        <scheme val="minor"/>
      </rPr>
      <t>h,soil</t>
    </r>
  </si>
  <si>
    <r>
      <t>P</t>
    </r>
    <r>
      <rPr>
        <vertAlign val="subscript"/>
        <sz val="11"/>
        <color rgb="FF3F3F3F"/>
        <rFont val="Calibri"/>
        <family val="2"/>
        <scheme val="minor"/>
      </rPr>
      <t>h,sur</t>
    </r>
  </si>
  <si>
    <r>
      <t>P</t>
    </r>
    <r>
      <rPr>
        <vertAlign val="subscript"/>
        <sz val="11"/>
        <color rgb="FF3F3F3F"/>
        <rFont val="Calibri"/>
        <family val="2"/>
        <scheme val="minor"/>
      </rPr>
      <t>max</t>
    </r>
  </si>
  <si>
    <r>
      <t>P</t>
    </r>
    <r>
      <rPr>
        <vertAlign val="subscript"/>
        <sz val="11"/>
        <color rgb="FF3F3F3F"/>
        <rFont val="Calibri"/>
        <family val="2"/>
        <scheme val="minor"/>
      </rPr>
      <t>min</t>
    </r>
    <r>
      <rPr>
        <sz val="11"/>
        <color rgb="FF3F3F3F"/>
        <rFont val="Calibri"/>
        <family val="2"/>
        <scheme val="minor"/>
      </rPr>
      <t xml:space="preserve"> </t>
    </r>
  </si>
  <si>
    <r>
      <t>P</t>
    </r>
    <r>
      <rPr>
        <vertAlign val="subscript"/>
        <sz val="11"/>
        <color rgb="FF3F3F3F"/>
        <rFont val="Calibri"/>
        <family val="2"/>
        <scheme val="minor"/>
      </rPr>
      <t>max,heel</t>
    </r>
  </si>
  <si>
    <r>
      <t>P</t>
    </r>
    <r>
      <rPr>
        <vertAlign val="subscript"/>
        <sz val="11"/>
        <color rgb="FF3F3F3F"/>
        <rFont val="Calibri"/>
        <family val="2"/>
        <scheme val="minor"/>
      </rPr>
      <t>min,toe</t>
    </r>
  </si>
  <si>
    <r>
      <t>F</t>
    </r>
    <r>
      <rPr>
        <vertAlign val="subscript"/>
        <sz val="11"/>
        <color rgb="FF3F3F3F"/>
        <rFont val="Calibri"/>
        <family val="2"/>
        <scheme val="minor"/>
      </rPr>
      <t>stem</t>
    </r>
  </si>
  <si>
    <r>
      <t>F</t>
    </r>
    <r>
      <rPr>
        <vertAlign val="subscript"/>
        <sz val="11"/>
        <color rgb="FF3F3F3F"/>
        <rFont val="Calibri"/>
        <family val="2"/>
        <scheme val="minor"/>
      </rPr>
      <t>cfort</t>
    </r>
  </si>
  <si>
    <r>
      <t>F</t>
    </r>
    <r>
      <rPr>
        <vertAlign val="subscript"/>
        <sz val="11"/>
        <color rgb="FF3F3F3F"/>
        <rFont val="Calibri"/>
        <family val="2"/>
        <scheme val="minor"/>
      </rPr>
      <t>base</t>
    </r>
  </si>
  <si>
    <r>
      <t>F</t>
    </r>
    <r>
      <rPr>
        <vertAlign val="subscript"/>
        <sz val="11"/>
        <color rgb="FF3F3F3F"/>
        <rFont val="Calibri"/>
        <family val="2"/>
        <scheme val="minor"/>
      </rPr>
      <t>soil,v</t>
    </r>
  </si>
  <si>
    <r>
      <t>F</t>
    </r>
    <r>
      <rPr>
        <vertAlign val="subscript"/>
        <sz val="11"/>
        <color rgb="FF3F3F3F"/>
        <rFont val="Calibri"/>
        <family val="2"/>
        <scheme val="minor"/>
      </rPr>
      <t>pass,v</t>
    </r>
  </si>
  <si>
    <r>
      <t>F</t>
    </r>
    <r>
      <rPr>
        <vertAlign val="subscript"/>
        <sz val="11"/>
        <color rgb="FF3F3F3F"/>
        <rFont val="Calibri"/>
        <family val="2"/>
        <scheme val="minor"/>
      </rPr>
      <t>sur,v</t>
    </r>
  </si>
  <si>
    <r>
      <t>F</t>
    </r>
    <r>
      <rPr>
        <vertAlign val="subscript"/>
        <sz val="11"/>
        <color rgb="FF3F3F3F"/>
        <rFont val="Calibri"/>
        <family val="2"/>
        <scheme val="minor"/>
      </rPr>
      <t>TOTAL</t>
    </r>
  </si>
  <si>
    <r>
      <t>F</t>
    </r>
    <r>
      <rPr>
        <vertAlign val="subscript"/>
        <sz val="11"/>
        <color rgb="FF3F3F3F"/>
        <rFont val="Calibri"/>
        <family val="2"/>
        <scheme val="minor"/>
      </rPr>
      <t>soil,h</t>
    </r>
  </si>
  <si>
    <r>
      <t>F</t>
    </r>
    <r>
      <rPr>
        <vertAlign val="subscript"/>
        <sz val="11"/>
        <color rgb="FF3F3F3F"/>
        <rFont val="Calibri"/>
        <family val="2"/>
        <scheme val="minor"/>
      </rPr>
      <t>sur,h</t>
    </r>
  </si>
  <si>
    <r>
      <t>F</t>
    </r>
    <r>
      <rPr>
        <vertAlign val="subscript"/>
        <sz val="11"/>
        <color rgb="FF3F3F3F"/>
        <rFont val="Calibri"/>
        <family val="2"/>
        <scheme val="minor"/>
      </rPr>
      <t>pass,h</t>
    </r>
  </si>
  <si>
    <r>
      <t>M</t>
    </r>
    <r>
      <rPr>
        <vertAlign val="subscript"/>
        <sz val="11"/>
        <color rgb="FF3F3F3F"/>
        <rFont val="Calibri"/>
        <family val="2"/>
        <scheme val="minor"/>
      </rPr>
      <t>stem</t>
    </r>
  </si>
  <si>
    <r>
      <t>M</t>
    </r>
    <r>
      <rPr>
        <vertAlign val="subscript"/>
        <sz val="11"/>
        <color rgb="FF3F3F3F"/>
        <rFont val="Calibri"/>
        <family val="2"/>
        <scheme val="minor"/>
      </rPr>
      <t>cfort</t>
    </r>
  </si>
  <si>
    <r>
      <t>M</t>
    </r>
    <r>
      <rPr>
        <vertAlign val="subscript"/>
        <sz val="11"/>
        <color rgb="FF3F3F3F"/>
        <rFont val="Calibri"/>
        <family val="2"/>
        <scheme val="minor"/>
      </rPr>
      <t>base</t>
    </r>
  </si>
  <si>
    <r>
      <t>M</t>
    </r>
    <r>
      <rPr>
        <vertAlign val="subscript"/>
        <sz val="11"/>
        <color rgb="FF3F3F3F"/>
        <rFont val="Calibri"/>
        <family val="2"/>
        <scheme val="minor"/>
      </rPr>
      <t>soil</t>
    </r>
  </si>
  <si>
    <r>
      <t>M</t>
    </r>
    <r>
      <rPr>
        <vertAlign val="subscript"/>
        <sz val="11"/>
        <color rgb="FF3F3F3F"/>
        <rFont val="Calibri"/>
        <family val="2"/>
        <scheme val="minor"/>
      </rPr>
      <t>pass</t>
    </r>
  </si>
  <si>
    <r>
      <t>M</t>
    </r>
    <r>
      <rPr>
        <vertAlign val="subscript"/>
        <sz val="11"/>
        <color rgb="FF3F3F3F"/>
        <rFont val="Calibri"/>
        <family val="2"/>
        <scheme val="minor"/>
      </rPr>
      <t>sur</t>
    </r>
  </si>
  <si>
    <r>
      <t>q</t>
    </r>
    <r>
      <rPr>
        <vertAlign val="subscript"/>
        <sz val="11"/>
        <color rgb="FF3F3F3F"/>
        <rFont val="Calibri"/>
        <family val="2"/>
        <scheme val="minor"/>
      </rPr>
      <t>toe</t>
    </r>
  </si>
  <si>
    <r>
      <t>q</t>
    </r>
    <r>
      <rPr>
        <vertAlign val="subscript"/>
        <sz val="11"/>
        <color rgb="FF3F3F3F"/>
        <rFont val="Calibri"/>
        <family val="2"/>
        <scheme val="minor"/>
      </rPr>
      <t>heel</t>
    </r>
  </si>
  <si>
    <r>
      <t>Active pressure coefficient;  k</t>
    </r>
    <r>
      <rPr>
        <vertAlign val="subscript"/>
        <sz val="11"/>
        <color rgb="FF3F3F3F"/>
        <rFont val="Calibri"/>
        <family val="2"/>
        <scheme val="minor"/>
      </rPr>
      <t>a</t>
    </r>
  </si>
  <si>
    <r>
      <t>Passive pressure coefficient; k</t>
    </r>
    <r>
      <rPr>
        <vertAlign val="subscript"/>
        <sz val="11"/>
        <color rgb="FF3F3F3F"/>
        <rFont val="Calibri"/>
        <family val="2"/>
        <scheme val="minor"/>
      </rPr>
      <t>p</t>
    </r>
  </si>
  <si>
    <r>
      <t>F</t>
    </r>
    <r>
      <rPr>
        <vertAlign val="subscript"/>
        <sz val="11"/>
        <color rgb="FF3F3F3F"/>
        <rFont val="Calibri"/>
        <family val="2"/>
        <scheme val="minor"/>
      </rPr>
      <t>Res</t>
    </r>
  </si>
  <si>
    <r>
      <t>F</t>
    </r>
    <r>
      <rPr>
        <vertAlign val="subscript"/>
        <sz val="11"/>
        <color rgb="FF3F3F3F"/>
        <rFont val="Calibri"/>
        <family val="2"/>
        <scheme val="minor"/>
      </rPr>
      <t>sliding</t>
    </r>
  </si>
  <si>
    <r>
      <t>M</t>
    </r>
    <r>
      <rPr>
        <vertAlign val="subscript"/>
        <sz val="11"/>
        <color rgb="FF3F3F3F"/>
        <rFont val="Calibri"/>
        <family val="2"/>
        <scheme val="minor"/>
      </rPr>
      <t>bfill</t>
    </r>
  </si>
  <si>
    <r>
      <t>M</t>
    </r>
    <r>
      <rPr>
        <vertAlign val="subscript"/>
        <sz val="11"/>
        <color rgb="FF3F3F3F"/>
        <rFont val="Calibri"/>
        <family val="2"/>
        <scheme val="minor"/>
      </rPr>
      <t>ffill</t>
    </r>
  </si>
  <si>
    <r>
      <t>M</t>
    </r>
    <r>
      <rPr>
        <vertAlign val="subscript"/>
        <sz val="11"/>
        <color rgb="FF3F3F3F"/>
        <rFont val="Calibri"/>
        <family val="2"/>
        <scheme val="minor"/>
      </rPr>
      <t>T</t>
    </r>
  </si>
  <si>
    <r>
      <t>M</t>
    </r>
    <r>
      <rPr>
        <vertAlign val="subscript"/>
        <sz val="11"/>
        <color rgb="FF3F3F3F"/>
        <rFont val="Calibri"/>
        <family val="2"/>
        <scheme val="minor"/>
      </rPr>
      <t>o</t>
    </r>
  </si>
  <si>
    <r>
      <t>l</t>
    </r>
    <r>
      <rPr>
        <vertAlign val="subscript"/>
        <sz val="11"/>
        <color rgb="FF3F3F3F"/>
        <rFont val="Calibri"/>
        <family val="2"/>
        <scheme val="minor"/>
      </rPr>
      <t>base</t>
    </r>
  </si>
  <si>
    <r>
      <t>h</t>
    </r>
    <r>
      <rPr>
        <vertAlign val="subscript"/>
        <sz val="11"/>
        <color rgb="FF3F3F3F"/>
        <rFont val="Calibri"/>
        <family val="2"/>
        <scheme val="minor"/>
      </rPr>
      <t>moist</t>
    </r>
  </si>
  <si>
    <r>
      <t>l</t>
    </r>
    <r>
      <rPr>
        <vertAlign val="subscript"/>
        <sz val="11"/>
        <color rgb="FF3F3F3F"/>
        <rFont val="Calibri"/>
        <family val="2"/>
        <scheme val="minor"/>
      </rPr>
      <t>sur</t>
    </r>
  </si>
  <si>
    <r>
      <t>x</t>
    </r>
    <r>
      <rPr>
        <vertAlign val="subscript"/>
        <sz val="11"/>
        <color rgb="FF3F3F3F"/>
        <rFont val="Calibri"/>
        <family val="2"/>
        <scheme val="minor"/>
      </rPr>
      <t>sur,v</t>
    </r>
  </si>
  <si>
    <r>
      <t>h</t>
    </r>
    <r>
      <rPr>
        <vertAlign val="subscript"/>
        <sz val="11"/>
        <color rgb="FF3F3F3F"/>
        <rFont val="Calibri"/>
        <family val="2"/>
        <scheme val="minor"/>
      </rPr>
      <t>eff</t>
    </r>
  </si>
  <si>
    <r>
      <t>x</t>
    </r>
    <r>
      <rPr>
        <vertAlign val="subscript"/>
        <sz val="11"/>
        <color rgb="FF3F3F3F"/>
        <rFont val="Calibri"/>
        <family val="2"/>
        <scheme val="minor"/>
      </rPr>
      <t>sur,h</t>
    </r>
  </si>
  <si>
    <r>
      <t>A</t>
    </r>
    <r>
      <rPr>
        <vertAlign val="subscript"/>
        <sz val="11"/>
        <color rgb="FF3F3F3F"/>
        <rFont val="Calibri"/>
        <family val="2"/>
        <scheme val="minor"/>
      </rPr>
      <t>stem</t>
    </r>
  </si>
  <si>
    <r>
      <t>x</t>
    </r>
    <r>
      <rPr>
        <vertAlign val="subscript"/>
        <sz val="11"/>
        <color rgb="FF3F3F3F"/>
        <rFont val="Calibri"/>
        <family val="2"/>
        <scheme val="minor"/>
      </rPr>
      <t>stem</t>
    </r>
  </si>
  <si>
    <r>
      <t>A</t>
    </r>
    <r>
      <rPr>
        <vertAlign val="subscript"/>
        <sz val="11"/>
        <color rgb="FF3F3F3F"/>
        <rFont val="Calibri"/>
        <family val="2"/>
        <scheme val="minor"/>
      </rPr>
      <t>cfort</t>
    </r>
  </si>
  <si>
    <r>
      <t>x</t>
    </r>
    <r>
      <rPr>
        <vertAlign val="subscript"/>
        <sz val="11"/>
        <color rgb="FF3F3F3F"/>
        <rFont val="Calibri"/>
        <family val="2"/>
        <scheme val="minor"/>
      </rPr>
      <t>cfort</t>
    </r>
  </si>
  <si>
    <r>
      <t>A</t>
    </r>
    <r>
      <rPr>
        <vertAlign val="subscript"/>
        <sz val="11"/>
        <color rgb="FF3F3F3F"/>
        <rFont val="Calibri"/>
        <family val="2"/>
        <scheme val="minor"/>
      </rPr>
      <t>base</t>
    </r>
  </si>
  <si>
    <r>
      <t>x</t>
    </r>
    <r>
      <rPr>
        <vertAlign val="subscript"/>
        <sz val="11"/>
        <color rgb="FF3F3F3F"/>
        <rFont val="Calibri"/>
        <family val="2"/>
        <scheme val="minor"/>
      </rPr>
      <t>base</t>
    </r>
  </si>
  <si>
    <r>
      <t>A</t>
    </r>
    <r>
      <rPr>
        <vertAlign val="subscript"/>
        <sz val="11"/>
        <color rgb="FF3F3F3F"/>
        <rFont val="Calibri"/>
        <family val="2"/>
        <scheme val="minor"/>
      </rPr>
      <t>soil</t>
    </r>
  </si>
  <si>
    <r>
      <t>x</t>
    </r>
    <r>
      <rPr>
        <vertAlign val="subscript"/>
        <sz val="11"/>
        <color rgb="FF3F3F3F"/>
        <rFont val="Calibri"/>
        <family val="2"/>
        <scheme val="minor"/>
      </rPr>
      <t>soil,v</t>
    </r>
  </si>
  <si>
    <r>
      <t>x</t>
    </r>
    <r>
      <rPr>
        <vertAlign val="subscript"/>
        <sz val="11"/>
        <color rgb="FF3F3F3F"/>
        <rFont val="Calibri"/>
        <family val="2"/>
        <scheme val="minor"/>
      </rPr>
      <t>soil,h</t>
    </r>
  </si>
  <si>
    <r>
      <t>A</t>
    </r>
    <r>
      <rPr>
        <vertAlign val="subscript"/>
        <sz val="11"/>
        <color rgb="FF3F3F3F"/>
        <rFont val="Calibri"/>
        <family val="2"/>
        <scheme val="minor"/>
      </rPr>
      <t>pass</t>
    </r>
  </si>
  <si>
    <r>
      <t>x</t>
    </r>
    <r>
      <rPr>
        <vertAlign val="subscript"/>
        <sz val="11"/>
        <color rgb="FF3F3F3F"/>
        <rFont val="Calibri"/>
        <family val="2"/>
        <scheme val="minor"/>
      </rPr>
      <t>pass,v</t>
    </r>
  </si>
  <si>
    <r>
      <t>x</t>
    </r>
    <r>
      <rPr>
        <vertAlign val="subscript"/>
        <sz val="11"/>
        <color rgb="FF3F3F3F"/>
        <rFont val="Calibri"/>
        <family val="2"/>
        <scheme val="minor"/>
      </rPr>
      <t>pass,h</t>
    </r>
  </si>
  <si>
    <r>
      <t>kN/m</t>
    </r>
    <r>
      <rPr>
        <vertAlign val="superscript"/>
        <sz val="11"/>
        <color rgb="FF3F3F3F"/>
        <rFont val="Calibri"/>
        <family val="2"/>
        <scheme val="minor"/>
      </rPr>
      <t>2</t>
    </r>
    <r>
      <rPr>
        <sz val="11"/>
        <color rgb="FF3F3F3F"/>
        <rFont val="Calibri"/>
        <family val="2"/>
        <scheme val="minor"/>
      </rPr>
      <t>/m</t>
    </r>
  </si>
  <si>
    <t>VIC</t>
  </si>
  <si>
    <t>PRESSURE @ ULS</t>
  </si>
  <si>
    <t xml:space="preserve">TABLE FOR COEFFICIENTS OF  FOR TWO - WAY RECTANGULAR PANEL FIXED ON THREE EDGES </t>
  </si>
  <si>
    <t>Kn/m</t>
  </si>
  <si>
    <r>
      <t>Presumed Bearing Pressure; q</t>
    </r>
    <r>
      <rPr>
        <vertAlign val="subscript"/>
        <sz val="11"/>
        <color rgb="FF3F3F3F"/>
        <rFont val="Calibri"/>
        <family val="2"/>
        <scheme val="minor"/>
      </rPr>
      <t>presumed</t>
    </r>
    <r>
      <rPr>
        <sz val="11"/>
        <color rgb="FF3F3F3F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</si>
</sst>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i/>
      <sz val="11"/>
      <color rgb="FF3F3F3F"/>
      <name val="Calibri"/>
      <family val="2"/>
      <scheme val="minor"/>
    </font>
    <font>
      <sz val="11"/>
      <color rgb="FF3F3F3F"/>
      <name val="Calibri"/>
      <family val="2"/>
    </font>
    <font>
      <vertAlign val="subscript"/>
      <sz val="11"/>
      <color rgb="FF3F3F3F"/>
      <name val="Calibri"/>
      <family val="2"/>
      <scheme val="minor"/>
    </font>
    <font>
      <vertAlign val="subscript"/>
      <sz val="11"/>
      <color rgb="FF3F3F3F"/>
      <name val="Calibri"/>
      <family val="2"/>
    </font>
    <font>
      <b/>
      <i/>
      <sz val="11"/>
      <color rgb="FF3F3F3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u/>
      <sz val="11"/>
      <color rgb="FF3F3F76"/>
      <name val="Calibri"/>
      <family val="2"/>
      <scheme val="minor"/>
    </font>
    <font>
      <u/>
      <sz val="11"/>
      <color rgb="FF9C57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3" applyNumberFormat="0" applyFont="0" applyAlignment="0" applyProtection="0"/>
  </cellStyleXfs>
  <cellXfs count="82">
    <xf numFmtId="0" fontId="0" fillId="0" borderId="0" xfId="0"/>
    <xf numFmtId="0" fontId="4" fillId="4" borderId="2" xfId="3" applyAlignment="1">
      <alignment vertical="center"/>
    </xf>
    <xf numFmtId="0" fontId="4" fillId="4" borderId="2" xfId="3"/>
    <xf numFmtId="0" fontId="3" fillId="3" borderId="1" xfId="2"/>
    <xf numFmtId="0" fontId="6" fillId="4" borderId="2" xfId="3" applyFont="1"/>
    <xf numFmtId="2" fontId="3" fillId="3" borderId="1" xfId="2" applyNumberFormat="1"/>
    <xf numFmtId="0" fontId="6" fillId="4" borderId="15" xfId="3" applyFont="1" applyBorder="1"/>
    <xf numFmtId="0" fontId="5" fillId="4" borderId="2" xfId="3" applyFont="1" applyAlignment="1">
      <alignment horizontal="center"/>
    </xf>
    <xf numFmtId="0" fontId="5" fillId="4" borderId="2" xfId="3" applyFont="1" applyAlignment="1"/>
    <xf numFmtId="0" fontId="5" fillId="4" borderId="2" xfId="3" applyFont="1"/>
    <xf numFmtId="0" fontId="3" fillId="3" borderId="1" xfId="2" applyAlignment="1"/>
    <xf numFmtId="0" fontId="11" fillId="0" borderId="0" xfId="0" applyFont="1"/>
    <xf numFmtId="0" fontId="2" fillId="2" borderId="2" xfId="1" applyBorder="1"/>
    <xf numFmtId="0" fontId="5" fillId="5" borderId="3" xfId="4" applyFont="1"/>
    <xf numFmtId="0" fontId="5" fillId="4" borderId="2" xfId="3" applyFont="1" applyAlignment="1">
      <alignment horizontal="left"/>
    </xf>
    <xf numFmtId="0" fontId="4" fillId="4" borderId="2" xfId="3" applyAlignment="1"/>
    <xf numFmtId="0" fontId="0" fillId="0" borderId="7" xfId="0" applyBorder="1"/>
    <xf numFmtId="0" fontId="13" fillId="0" borderId="0" xfId="0" applyFont="1"/>
    <xf numFmtId="0" fontId="12" fillId="0" borderId="0" xfId="0" applyFont="1"/>
    <xf numFmtId="0" fontId="5" fillId="4" borderId="14" xfId="3" applyFont="1" applyBorder="1" applyAlignment="1">
      <alignment horizontal="center"/>
    </xf>
    <xf numFmtId="0" fontId="4" fillId="4" borderId="10" xfId="3" applyBorder="1" applyAlignment="1">
      <alignment horizontal="center"/>
    </xf>
    <xf numFmtId="2" fontId="2" fillId="2" borderId="2" xfId="1" applyNumberFormat="1" applyBorder="1"/>
    <xf numFmtId="0" fontId="0" fillId="5" borderId="3" xfId="4" applyFont="1"/>
    <xf numFmtId="0" fontId="12" fillId="5" borderId="3" xfId="4" applyFont="1" applyAlignment="1"/>
    <xf numFmtId="0" fontId="7" fillId="4" borderId="9" xfId="3" applyFont="1" applyBorder="1" applyAlignment="1"/>
    <xf numFmtId="164" fontId="0" fillId="5" borderId="3" xfId="4" applyNumberFormat="1" applyFont="1"/>
    <xf numFmtId="2" fontId="2" fillId="2" borderId="2" xfId="1" applyNumberFormat="1" applyBorder="1" applyAlignment="1">
      <alignment horizontal="center"/>
    </xf>
    <xf numFmtId="0" fontId="2" fillId="2" borderId="2" xfId="1" applyBorder="1" applyAlignment="1">
      <alignment horizontal="center"/>
    </xf>
    <xf numFmtId="164" fontId="2" fillId="2" borderId="2" xfId="1" applyNumberFormat="1" applyBorder="1"/>
    <xf numFmtId="165" fontId="2" fillId="2" borderId="2" xfId="1" applyNumberFormat="1" applyBorder="1"/>
    <xf numFmtId="0" fontId="2" fillId="2" borderId="2" xfId="1" applyBorder="1" applyAlignment="1">
      <alignment horizontal="right" indent="1"/>
    </xf>
    <xf numFmtId="0" fontId="2" fillId="2" borderId="2" xfId="1" applyBorder="1" applyAlignment="1"/>
    <xf numFmtId="2" fontId="2" fillId="2" borderId="2" xfId="1" applyNumberFormat="1" applyBorder="1" applyAlignment="1">
      <alignment horizontal="right"/>
    </xf>
    <xf numFmtId="2" fontId="2" fillId="2" borderId="2" xfId="1" applyNumberFormat="1" applyBorder="1" applyAlignment="1"/>
    <xf numFmtId="0" fontId="2" fillId="2" borderId="2" xfId="1" applyBorder="1" applyAlignment="1">
      <alignment horizontal="right"/>
    </xf>
    <xf numFmtId="1" fontId="3" fillId="3" borderId="1" xfId="2" applyNumberFormat="1"/>
    <xf numFmtId="0" fontId="0" fillId="5" borderId="3" xfId="4" applyFont="1" applyAlignment="1">
      <alignment horizontal="center"/>
    </xf>
    <xf numFmtId="0" fontId="4" fillId="4" borderId="9" xfId="3" applyBorder="1" applyAlignment="1">
      <alignment horizontal="center"/>
    </xf>
    <xf numFmtId="0" fontId="4" fillId="4" borderId="14" xfId="3" applyBorder="1" applyAlignment="1">
      <alignment horizontal="center"/>
    </xf>
    <xf numFmtId="0" fontId="4" fillId="4" borderId="10" xfId="3" applyBorder="1" applyAlignment="1">
      <alignment horizontal="center"/>
    </xf>
    <xf numFmtId="0" fontId="5" fillId="4" borderId="9" xfId="3" applyFont="1" applyBorder="1" applyAlignment="1">
      <alignment horizontal="center"/>
    </xf>
    <xf numFmtId="0" fontId="5" fillId="4" borderId="14" xfId="3" applyFont="1" applyBorder="1" applyAlignment="1">
      <alignment horizontal="center"/>
    </xf>
    <xf numFmtId="0" fontId="6" fillId="4" borderId="2" xfId="3" applyFont="1" applyAlignment="1">
      <alignment horizontal="center"/>
    </xf>
    <xf numFmtId="0" fontId="5" fillId="4" borderId="2" xfId="3" applyFont="1" applyAlignment="1">
      <alignment horizontal="center"/>
    </xf>
    <xf numFmtId="0" fontId="5" fillId="4" borderId="2" xfId="3" applyFont="1" applyAlignment="1">
      <alignment horizontal="left"/>
    </xf>
    <xf numFmtId="0" fontId="4" fillId="4" borderId="2" xfId="3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4" borderId="4" xfId="3" applyFont="1" applyBorder="1" applyAlignment="1">
      <alignment horizontal="center"/>
    </xf>
    <xf numFmtId="0" fontId="4" fillId="4" borderId="5" xfId="3" applyBorder="1" applyAlignment="1">
      <alignment horizontal="center"/>
    </xf>
    <xf numFmtId="0" fontId="4" fillId="4" borderId="6" xfId="3" applyBorder="1" applyAlignment="1">
      <alignment horizontal="center"/>
    </xf>
    <xf numFmtId="0" fontId="4" fillId="4" borderId="7" xfId="3" applyBorder="1" applyAlignment="1">
      <alignment horizontal="center"/>
    </xf>
    <xf numFmtId="0" fontId="4" fillId="4" borderId="0" xfId="3" applyBorder="1" applyAlignment="1">
      <alignment horizontal="center"/>
    </xf>
    <xf numFmtId="0" fontId="4" fillId="4" borderId="8" xfId="3" applyBorder="1" applyAlignment="1">
      <alignment horizontal="center"/>
    </xf>
    <xf numFmtId="0" fontId="4" fillId="4" borderId="11" xfId="3" applyBorder="1" applyAlignment="1">
      <alignment horizontal="center"/>
    </xf>
    <xf numFmtId="0" fontId="4" fillId="4" borderId="12" xfId="3" applyBorder="1" applyAlignment="1">
      <alignment horizontal="center"/>
    </xf>
    <xf numFmtId="0" fontId="4" fillId="4" borderId="13" xfId="3" applyBorder="1" applyAlignment="1">
      <alignment horizontal="center"/>
    </xf>
    <xf numFmtId="0" fontId="4" fillId="4" borderId="4" xfId="3" applyBorder="1" applyAlignment="1">
      <alignment horizontal="center" vertical="center"/>
    </xf>
    <xf numFmtId="0" fontId="4" fillId="4" borderId="6" xfId="3" applyBorder="1" applyAlignment="1">
      <alignment horizontal="center" vertical="center"/>
    </xf>
    <xf numFmtId="0" fontId="4" fillId="4" borderId="11" xfId="3" applyBorder="1" applyAlignment="1">
      <alignment horizontal="center" vertical="center"/>
    </xf>
    <xf numFmtId="0" fontId="4" fillId="4" borderId="13" xfId="3" applyBorder="1" applyAlignment="1">
      <alignment horizontal="center" vertical="center"/>
    </xf>
    <xf numFmtId="0" fontId="10" fillId="4" borderId="9" xfId="3" applyFont="1" applyBorder="1" applyAlignment="1">
      <alignment horizontal="center"/>
    </xf>
    <xf numFmtId="0" fontId="10" fillId="4" borderId="14" xfId="3" applyFont="1" applyBorder="1" applyAlignment="1">
      <alignment horizontal="center"/>
    </xf>
    <xf numFmtId="0" fontId="10" fillId="4" borderId="10" xfId="3" applyFont="1" applyBorder="1" applyAlignment="1">
      <alignment horizontal="center"/>
    </xf>
    <xf numFmtId="0" fontId="5" fillId="4" borderId="10" xfId="3" applyFont="1" applyBorder="1" applyAlignment="1">
      <alignment horizontal="center"/>
    </xf>
    <xf numFmtId="0" fontId="4" fillId="4" borderId="2" xfId="3" applyAlignment="1">
      <alignment vertical="center"/>
    </xf>
    <xf numFmtId="0" fontId="4" fillId="4" borderId="2" xfId="3"/>
    <xf numFmtId="0" fontId="5" fillId="4" borderId="2" xfId="3" applyFont="1" applyAlignment="1"/>
    <xf numFmtId="0" fontId="10" fillId="4" borderId="2" xfId="3" applyFont="1" applyAlignment="1">
      <alignment horizontal="center"/>
    </xf>
    <xf numFmtId="0" fontId="5" fillId="4" borderId="9" xfId="3" applyFont="1" applyBorder="1" applyAlignment="1">
      <alignment horizontal="left"/>
    </xf>
    <xf numFmtId="0" fontId="5" fillId="4" borderId="10" xfId="3" applyFont="1" applyBorder="1" applyAlignment="1">
      <alignment horizontal="left"/>
    </xf>
    <xf numFmtId="0" fontId="6" fillId="4" borderId="9" xfId="3" applyFont="1" applyBorder="1" applyAlignment="1">
      <alignment horizontal="center"/>
    </xf>
    <xf numFmtId="0" fontId="6" fillId="4" borderId="14" xfId="3" applyFont="1" applyBorder="1" applyAlignment="1">
      <alignment horizontal="center"/>
    </xf>
    <xf numFmtId="0" fontId="6" fillId="4" borderId="10" xfId="3" applyFont="1" applyBorder="1" applyAlignment="1">
      <alignment horizontal="center"/>
    </xf>
    <xf numFmtId="0" fontId="4" fillId="4" borderId="2" xfId="3" applyAlignment="1">
      <alignment horizontal="left"/>
    </xf>
    <xf numFmtId="165" fontId="3" fillId="3" borderId="1" xfId="2" applyNumberFormat="1"/>
    <xf numFmtId="0" fontId="16" fillId="3" borderId="1" xfId="2" applyFont="1"/>
    <xf numFmtId="0" fontId="16" fillId="3" borderId="1" xfId="2" applyFont="1" applyAlignment="1"/>
    <xf numFmtId="0" fontId="17" fillId="2" borderId="2" xfId="1" applyFont="1" applyBorder="1"/>
    <xf numFmtId="165" fontId="0" fillId="0" borderId="0" xfId="0" applyNumberFormat="1"/>
    <xf numFmtId="2" fontId="2" fillId="2" borderId="3" xfId="1" applyNumberFormat="1" applyBorder="1"/>
    <xf numFmtId="2" fontId="5" fillId="4" borderId="2" xfId="3" applyNumberFormat="1" applyFont="1"/>
  </cellXfs>
  <cellStyles count="5">
    <cellStyle name="Input" xfId="2" builtinId="20"/>
    <cellStyle name="Neutral" xfId="1" builtinId="28"/>
    <cellStyle name="Normal" xfId="0" builtinId="0"/>
    <cellStyle name="Note" xfId="4" builtinId="1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506730</xdr:colOff>
      <xdr:row>0</xdr:row>
      <xdr:rowOff>33689</xdr:rowOff>
    </xdr:from>
    <xdr:to>
      <xdr:col>1</xdr:col>
      <xdr:colOff>594360</xdr:colOff>
      <xdr:row>5</xdr:row>
      <xdr:rowOff>180073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C126CA-726B-42B4-B836-495F4944C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" y="33689"/>
          <a:ext cx="1074420" cy="10607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110490</xdr:colOff>
      <xdr:row>10</xdr:row>
      <xdr:rowOff>22860</xdr:rowOff>
    </xdr:from>
    <xdr:to>
      <xdr:col>8</xdr:col>
      <xdr:colOff>796290</xdr:colOff>
      <xdr:row>31</xdr:row>
      <xdr:rowOff>20549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279C7D-AB7B-547C-4941-CD5B7C0E4C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97" t="30065" r="45718" b="25723"/>
        <a:stretch/>
      </xdr:blipFill>
      <xdr:spPr>
        <a:xfrm>
          <a:off x="1097280" y="1851660"/>
          <a:ext cx="6267450" cy="3838169"/>
        </a:xfrm>
        <a:prstGeom prst="rect">
          <a:avLst/>
        </a:prstGeom>
      </xdr:spPr>
    </xdr:pic>
    <xdr:clientData/>
  </xdr:twoCellAnchor>
  <xdr:twoCellAnchor editAs="oneCell">
    <xdr:from>
      <xdr:col>0</xdr:col>
      <xdr:colOff>289560</xdr:colOff>
      <xdr:row>104</xdr:row>
      <xdr:rowOff>49530</xdr:rowOff>
    </xdr:from>
    <xdr:to>
      <xdr:col>6</xdr:col>
      <xdr:colOff>689610</xdr:colOff>
      <xdr:row>122</xdr:row>
      <xdr:rowOff>88795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209E133-4A12-CE46-70B4-EB61FE18D7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49" t="41634" r="54937" b="28111"/>
        <a:stretch/>
      </xdr:blipFill>
      <xdr:spPr>
        <a:xfrm>
          <a:off x="289560" y="19343370"/>
          <a:ext cx="5334000" cy="3582565"/>
        </a:xfrm>
        <a:prstGeom prst="rect">
          <a:avLst/>
        </a:prstGeom>
      </xdr:spPr>
    </xdr:pic>
    <xdr:clientData/>
  </xdr:twoCellAnchor>
  <xdr:twoCellAnchor>
    <xdr:from>
      <xdr:col>8</xdr:col>
      <xdr:colOff>11430</xdr:colOff>
      <xdr:row>3</xdr:row>
      <xdr:rowOff>133350</xdr:rowOff>
    </xdr:from>
    <xdr:to>
      <xdr:col>10</xdr:col>
      <xdr:colOff>628650</xdr:colOff>
      <xdr:row>7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4644B62-4BA9-F7A2-84FD-19F1AEC23856}"/>
            </a:ext>
          </a:extLst>
        </xdr:cNvPr>
        <xdr:cNvSpPr txBox="1"/>
      </xdr:nvSpPr>
      <xdr:spPr>
        <a:xfrm>
          <a:off x="6579870" y="681990"/>
          <a:ext cx="2270760" cy="617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DISCLAIMER: This spreadsheet is intended to be used for preliminary design only.  Structurescentre.com will not be liable for any damages arising from the use of this spreadsheet.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6D0C7-EBDC-42E0-ABC4-01BDDF71656B}">
  <sheetPr>
    <pageSetUpPr fitToPage="1"/>
  </sheetPr>
  <dimension ref="A1:K204"/>
  <sheetViews>
    <sheetView tabSelected="1" topLeftCell="A111" workbookViewId="0">
      <selection activeCell="I119" sqref="I119"/>
    </sheetView>
  </sheetViews>
  <sheetFormatPr defaultRowHeight="14.4" x14ac:dyDescent="0.55000000000000004"/>
  <cols>
    <col min="1" max="1" width="13.62890625" customWidth="1"/>
    <col min="2" max="2" width="13.83984375" customWidth="1"/>
    <col min="3" max="3" width="8.83984375" customWidth="1"/>
    <col min="5" max="5" width="9" customWidth="1"/>
    <col min="6" max="6" width="14" customWidth="1"/>
    <col min="7" max="7" width="10.15625" bestFit="1" customWidth="1"/>
    <col min="8" max="8" width="12.41796875" customWidth="1"/>
    <col min="9" max="9" width="13.578125" customWidth="1"/>
    <col min="10" max="10" width="9.26171875" customWidth="1"/>
  </cols>
  <sheetData>
    <row r="1" spans="1:11" x14ac:dyDescent="0.55000000000000004">
      <c r="A1" s="45" t="s">
        <v>0</v>
      </c>
      <c r="B1" s="45"/>
      <c r="C1" s="45"/>
      <c r="D1" s="65" t="s">
        <v>1</v>
      </c>
      <c r="E1" s="65"/>
      <c r="F1" s="65"/>
      <c r="G1" s="65"/>
      <c r="H1" s="65"/>
      <c r="I1" s="1" t="s">
        <v>17</v>
      </c>
      <c r="J1" s="57"/>
      <c r="K1" s="58"/>
    </row>
    <row r="2" spans="1:11" x14ac:dyDescent="0.55000000000000004">
      <c r="A2" s="45"/>
      <c r="B2" s="45"/>
      <c r="C2" s="45"/>
      <c r="D2" s="65"/>
      <c r="E2" s="65"/>
      <c r="F2" s="65"/>
      <c r="G2" s="65"/>
      <c r="H2" s="65"/>
      <c r="I2" s="1"/>
      <c r="J2" s="59"/>
      <c r="K2" s="60"/>
    </row>
    <row r="3" spans="1:11" x14ac:dyDescent="0.55000000000000004">
      <c r="A3" s="45"/>
      <c r="B3" s="45"/>
      <c r="C3" s="45"/>
      <c r="D3" s="65" t="s">
        <v>75</v>
      </c>
      <c r="E3" s="65"/>
      <c r="F3" s="65"/>
      <c r="G3" s="65"/>
      <c r="H3" s="65"/>
      <c r="I3" s="1" t="s">
        <v>2</v>
      </c>
      <c r="J3" s="57"/>
      <c r="K3" s="58"/>
    </row>
    <row r="4" spans="1:11" x14ac:dyDescent="0.55000000000000004">
      <c r="A4" s="45"/>
      <c r="B4" s="45"/>
      <c r="C4" s="45"/>
      <c r="D4" s="65"/>
      <c r="E4" s="65"/>
      <c r="F4" s="65"/>
      <c r="G4" s="65"/>
      <c r="H4" s="65"/>
      <c r="I4" s="1"/>
      <c r="J4" s="59"/>
      <c r="K4" s="60"/>
    </row>
    <row r="5" spans="1:11" x14ac:dyDescent="0.55000000000000004">
      <c r="A5" s="45"/>
      <c r="B5" s="45"/>
      <c r="C5" s="45"/>
      <c r="D5" s="66" t="s">
        <v>3</v>
      </c>
      <c r="E5" s="66"/>
      <c r="F5" s="2" t="s">
        <v>211</v>
      </c>
      <c r="G5" s="66" t="s">
        <v>4</v>
      </c>
      <c r="H5" s="66"/>
      <c r="I5" s="48"/>
      <c r="J5" s="49"/>
      <c r="K5" s="50"/>
    </row>
    <row r="6" spans="1:11" x14ac:dyDescent="0.55000000000000004">
      <c r="A6" s="45"/>
      <c r="B6" s="45"/>
      <c r="C6" s="45"/>
      <c r="D6" s="66" t="s">
        <v>5</v>
      </c>
      <c r="E6" s="66"/>
      <c r="F6" s="2" t="s">
        <v>211</v>
      </c>
      <c r="G6" s="66" t="s">
        <v>4</v>
      </c>
      <c r="H6" s="66"/>
      <c r="I6" s="51"/>
      <c r="J6" s="52"/>
      <c r="K6" s="53"/>
    </row>
    <row r="7" spans="1:11" x14ac:dyDescent="0.55000000000000004">
      <c r="A7" s="45"/>
      <c r="B7" s="45"/>
      <c r="C7" s="45"/>
      <c r="D7" s="66" t="s">
        <v>6</v>
      </c>
      <c r="E7" s="66"/>
      <c r="F7" s="2" t="s">
        <v>211</v>
      </c>
      <c r="G7" s="66" t="s">
        <v>7</v>
      </c>
      <c r="H7" s="66"/>
      <c r="I7" s="54"/>
      <c r="J7" s="55"/>
      <c r="K7" s="56"/>
    </row>
    <row r="9" spans="1:11" x14ac:dyDescent="0.55000000000000004">
      <c r="D9" s="46" t="s">
        <v>128</v>
      </c>
      <c r="E9" s="47"/>
      <c r="F9" s="47"/>
      <c r="G9" s="47"/>
      <c r="H9" s="47"/>
    </row>
    <row r="33" spans="1:11" x14ac:dyDescent="0.55000000000000004">
      <c r="A33" s="61" t="s">
        <v>9</v>
      </c>
      <c r="B33" s="62"/>
      <c r="C33" s="62"/>
      <c r="D33" s="62"/>
      <c r="E33" s="63"/>
      <c r="G33" s="61" t="s">
        <v>18</v>
      </c>
      <c r="H33" s="62"/>
      <c r="I33" s="62"/>
      <c r="J33" s="62"/>
      <c r="K33" s="63"/>
    </row>
    <row r="34" spans="1:11" ht="16.8" x14ac:dyDescent="0.75">
      <c r="A34" s="40" t="s">
        <v>10</v>
      </c>
      <c r="B34" s="41"/>
      <c r="C34" s="64"/>
      <c r="D34" s="3">
        <v>7000</v>
      </c>
      <c r="E34" s="4" t="s">
        <v>8</v>
      </c>
      <c r="G34" s="40" t="s">
        <v>19</v>
      </c>
      <c r="H34" s="41"/>
      <c r="I34" s="64"/>
      <c r="J34" s="3">
        <v>18</v>
      </c>
      <c r="K34" s="4" t="s">
        <v>44</v>
      </c>
    </row>
    <row r="35" spans="1:11" ht="16.8" x14ac:dyDescent="0.75">
      <c r="A35" s="40" t="s">
        <v>11</v>
      </c>
      <c r="B35" s="41"/>
      <c r="C35" s="64"/>
      <c r="D35" s="3">
        <v>300</v>
      </c>
      <c r="E35" s="4" t="s">
        <v>8</v>
      </c>
      <c r="G35" s="40" t="s">
        <v>123</v>
      </c>
      <c r="H35" s="41"/>
      <c r="I35" s="64"/>
      <c r="J35" s="3">
        <v>25</v>
      </c>
      <c r="K35" s="4" t="s">
        <v>44</v>
      </c>
    </row>
    <row r="36" spans="1:11" ht="16.8" x14ac:dyDescent="0.75">
      <c r="A36" s="40" t="s">
        <v>12</v>
      </c>
      <c r="B36" s="41"/>
      <c r="C36" s="64"/>
      <c r="D36" s="3">
        <v>5000</v>
      </c>
      <c r="E36" s="4" t="s">
        <v>8</v>
      </c>
      <c r="G36" s="40" t="s">
        <v>122</v>
      </c>
      <c r="H36" s="41"/>
      <c r="I36" s="64"/>
      <c r="J36" s="3">
        <v>30</v>
      </c>
      <c r="K36" s="4" t="s">
        <v>43</v>
      </c>
    </row>
    <row r="37" spans="1:11" ht="16.8" x14ac:dyDescent="0.75">
      <c r="A37" s="40" t="s">
        <v>13</v>
      </c>
      <c r="B37" s="41"/>
      <c r="C37" s="64"/>
      <c r="D37" s="3">
        <v>350</v>
      </c>
      <c r="E37" s="4" t="s">
        <v>8</v>
      </c>
      <c r="G37" s="40" t="s">
        <v>121</v>
      </c>
      <c r="H37" s="41"/>
      <c r="I37" s="64"/>
      <c r="J37" s="3">
        <v>30</v>
      </c>
      <c r="K37" s="4" t="s">
        <v>44</v>
      </c>
    </row>
    <row r="38" spans="1:11" ht="16.8" x14ac:dyDescent="0.75">
      <c r="A38" s="40" t="s">
        <v>14</v>
      </c>
      <c r="B38" s="41"/>
      <c r="C38" s="64"/>
      <c r="D38" s="3">
        <v>1000</v>
      </c>
      <c r="E38" s="4" t="s">
        <v>8</v>
      </c>
      <c r="G38" s="40" t="s">
        <v>120</v>
      </c>
      <c r="H38" s="41"/>
      <c r="I38" s="64"/>
      <c r="J38" s="3">
        <v>20</v>
      </c>
      <c r="K38" s="4" t="s">
        <v>44</v>
      </c>
    </row>
    <row r="39" spans="1:11" ht="16.8" x14ac:dyDescent="0.75">
      <c r="A39" s="40" t="s">
        <v>15</v>
      </c>
      <c r="B39" s="41"/>
      <c r="C39" s="64"/>
      <c r="D39" s="3">
        <v>3700</v>
      </c>
      <c r="E39" s="4" t="s">
        <v>8</v>
      </c>
      <c r="G39" s="43" t="s">
        <v>119</v>
      </c>
      <c r="H39" s="43"/>
      <c r="I39" s="43"/>
      <c r="J39" s="3">
        <v>410</v>
      </c>
      <c r="K39" s="4" t="s">
        <v>44</v>
      </c>
    </row>
    <row r="40" spans="1:11" ht="16.8" x14ac:dyDescent="0.75">
      <c r="A40" s="40" t="s">
        <v>16</v>
      </c>
      <c r="B40" s="41"/>
      <c r="C40" s="64"/>
      <c r="D40" s="3">
        <v>500</v>
      </c>
      <c r="E40" s="4" t="s">
        <v>8</v>
      </c>
      <c r="G40" s="68" t="s">
        <v>32</v>
      </c>
      <c r="H40" s="68"/>
      <c r="I40" s="68"/>
      <c r="J40" s="68"/>
      <c r="K40" s="68"/>
    </row>
    <row r="41" spans="1:11" ht="16.8" x14ac:dyDescent="0.75">
      <c r="A41" s="40" t="s">
        <v>55</v>
      </c>
      <c r="B41" s="41"/>
      <c r="C41" s="64"/>
      <c r="D41" s="35">
        <v>7000</v>
      </c>
      <c r="E41" s="4" t="s">
        <v>8</v>
      </c>
      <c r="G41" s="8" t="s">
        <v>35</v>
      </c>
      <c r="H41" s="10">
        <v>1.1000000000000001</v>
      </c>
      <c r="I41" s="9" t="s">
        <v>37</v>
      </c>
      <c r="J41" s="3">
        <v>1.5</v>
      </c>
      <c r="K41" s="9"/>
    </row>
    <row r="42" spans="1:11" ht="16.8" x14ac:dyDescent="0.75">
      <c r="A42" s="43" t="s">
        <v>56</v>
      </c>
      <c r="B42" s="43"/>
      <c r="C42" s="43"/>
      <c r="D42" s="3">
        <v>300</v>
      </c>
      <c r="E42" s="6" t="s">
        <v>8</v>
      </c>
      <c r="G42" s="8" t="s">
        <v>36</v>
      </c>
      <c r="H42" s="10">
        <v>0.9</v>
      </c>
      <c r="I42" s="9" t="s">
        <v>38</v>
      </c>
      <c r="J42" s="3">
        <v>0</v>
      </c>
      <c r="K42" s="9"/>
    </row>
    <row r="43" spans="1:11" x14ac:dyDescent="0.55000000000000004">
      <c r="G43" s="68" t="s">
        <v>33</v>
      </c>
      <c r="H43" s="68"/>
      <c r="I43" s="9"/>
      <c r="J43" s="68" t="s">
        <v>39</v>
      </c>
      <c r="K43" s="68"/>
    </row>
    <row r="44" spans="1:11" x14ac:dyDescent="0.55000000000000004">
      <c r="A44" s="45" t="s">
        <v>125</v>
      </c>
      <c r="B44" s="45"/>
      <c r="C44" s="45"/>
      <c r="D44" s="45"/>
      <c r="E44" s="45"/>
      <c r="G44" s="9" t="s">
        <v>42</v>
      </c>
      <c r="H44" s="3">
        <v>1.25</v>
      </c>
      <c r="I44" s="9"/>
      <c r="J44" s="9" t="s">
        <v>40</v>
      </c>
      <c r="K44" s="3">
        <v>1.35</v>
      </c>
    </row>
    <row r="45" spans="1:11" ht="16.5" x14ac:dyDescent="0.55000000000000004">
      <c r="A45" s="43" t="s">
        <v>126</v>
      </c>
      <c r="B45" s="43"/>
      <c r="C45" s="43"/>
      <c r="D45" s="9">
        <v>10</v>
      </c>
      <c r="E45" s="9" t="s">
        <v>159</v>
      </c>
      <c r="G45" s="9" t="s">
        <v>34</v>
      </c>
      <c r="H45" s="5">
        <v>1</v>
      </c>
      <c r="I45" s="9"/>
      <c r="J45" s="9" t="s">
        <v>41</v>
      </c>
      <c r="K45" s="5">
        <v>1.5</v>
      </c>
    </row>
    <row r="46" spans="1:11" ht="16.8" x14ac:dyDescent="0.75">
      <c r="G46" s="43" t="s">
        <v>215</v>
      </c>
      <c r="H46" s="43"/>
      <c r="I46" s="43"/>
      <c r="J46" s="3">
        <v>250</v>
      </c>
      <c r="K46" s="17" t="s">
        <v>44</v>
      </c>
    </row>
    <row r="48" spans="1:11" x14ac:dyDescent="0.55000000000000004">
      <c r="A48" s="68" t="s">
        <v>20</v>
      </c>
      <c r="B48" s="68"/>
      <c r="C48" s="68"/>
      <c r="D48" s="68"/>
      <c r="E48" s="68"/>
      <c r="F48" s="68"/>
      <c r="G48" s="68"/>
    </row>
    <row r="49" spans="1:7" ht="16.8" x14ac:dyDescent="0.75">
      <c r="A49" s="67" t="s">
        <v>31</v>
      </c>
      <c r="B49" s="67"/>
      <c r="C49" s="67"/>
      <c r="D49" s="67"/>
      <c r="E49" s="9" t="s">
        <v>192</v>
      </c>
      <c r="F49" s="3">
        <f>D38+D35+D39</f>
        <v>5000</v>
      </c>
      <c r="G49" s="9" t="s">
        <v>8</v>
      </c>
    </row>
    <row r="50" spans="1:7" ht="16.8" x14ac:dyDescent="0.75">
      <c r="A50" s="67" t="s">
        <v>21</v>
      </c>
      <c r="B50" s="67"/>
      <c r="C50" s="67"/>
      <c r="D50" s="67"/>
      <c r="E50" s="9" t="s">
        <v>193</v>
      </c>
      <c r="F50" s="5">
        <f>D41</f>
        <v>7000</v>
      </c>
      <c r="G50" s="9" t="s">
        <v>8</v>
      </c>
    </row>
    <row r="51" spans="1:7" ht="16.8" x14ac:dyDescent="0.75">
      <c r="A51" s="67" t="s">
        <v>22</v>
      </c>
      <c r="B51" s="67"/>
      <c r="C51" s="67"/>
      <c r="D51" s="67"/>
      <c r="E51" s="9" t="s">
        <v>194</v>
      </c>
      <c r="F51" s="3">
        <f>D39</f>
        <v>3700</v>
      </c>
      <c r="G51" s="9" t="s">
        <v>8</v>
      </c>
    </row>
    <row r="52" spans="1:7" ht="16.8" x14ac:dyDescent="0.75">
      <c r="A52" s="67" t="s">
        <v>27</v>
      </c>
      <c r="B52" s="67"/>
      <c r="C52" s="67"/>
      <c r="D52" s="67"/>
      <c r="E52" s="9" t="s">
        <v>195</v>
      </c>
      <c r="F52" s="3">
        <f>F49-(D39/2)</f>
        <v>3150</v>
      </c>
      <c r="G52" s="9" t="s">
        <v>8</v>
      </c>
    </row>
    <row r="53" spans="1:7" ht="16.8" x14ac:dyDescent="0.75">
      <c r="A53" s="67" t="s">
        <v>23</v>
      </c>
      <c r="B53" s="67"/>
      <c r="C53" s="67"/>
      <c r="D53" s="67"/>
      <c r="E53" s="9" t="s">
        <v>196</v>
      </c>
      <c r="F53" s="3">
        <f>D34+D40</f>
        <v>7500</v>
      </c>
      <c r="G53" s="9" t="s">
        <v>8</v>
      </c>
    </row>
    <row r="54" spans="1:7" ht="16.8" x14ac:dyDescent="0.75">
      <c r="A54" s="67" t="s">
        <v>28</v>
      </c>
      <c r="B54" s="67"/>
      <c r="C54" s="67"/>
      <c r="D54" s="67"/>
      <c r="E54" s="9" t="s">
        <v>197</v>
      </c>
      <c r="F54" s="3">
        <f>F53/2</f>
        <v>3750</v>
      </c>
      <c r="G54" s="9" t="s">
        <v>8</v>
      </c>
    </row>
    <row r="55" spans="1:7" ht="17.7" x14ac:dyDescent="0.75">
      <c r="A55" s="67" t="s">
        <v>24</v>
      </c>
      <c r="B55" s="67"/>
      <c r="C55" s="67"/>
      <c r="D55" s="67"/>
      <c r="E55" s="9" t="s">
        <v>198</v>
      </c>
      <c r="F55" s="3">
        <f>D34*D35</f>
        <v>2100000</v>
      </c>
      <c r="G55" s="9" t="s">
        <v>150</v>
      </c>
    </row>
    <row r="56" spans="1:7" ht="16.8" x14ac:dyDescent="0.75">
      <c r="A56" s="67" t="s">
        <v>27</v>
      </c>
      <c r="B56" s="67"/>
      <c r="C56" s="67"/>
      <c r="D56" s="67"/>
      <c r="E56" s="9" t="s">
        <v>199</v>
      </c>
      <c r="F56" s="3">
        <f>D38+(D35/2)</f>
        <v>1150</v>
      </c>
      <c r="G56" s="9" t="s">
        <v>8</v>
      </c>
    </row>
    <row r="57" spans="1:7" ht="17.7" x14ac:dyDescent="0.75">
      <c r="A57" s="67" t="s">
        <v>25</v>
      </c>
      <c r="B57" s="67"/>
      <c r="C57" s="67"/>
      <c r="D57" s="67"/>
      <c r="E57" s="9" t="s">
        <v>200</v>
      </c>
      <c r="F57" s="3">
        <f>0.5*(D39*D34)</f>
        <v>12950000</v>
      </c>
      <c r="G57" s="9" t="s">
        <v>150</v>
      </c>
    </row>
    <row r="58" spans="1:7" ht="16.8" x14ac:dyDescent="0.75">
      <c r="A58" s="67" t="s">
        <v>27</v>
      </c>
      <c r="B58" s="67"/>
      <c r="C58" s="67"/>
      <c r="D58" s="67"/>
      <c r="E58" s="9" t="s">
        <v>201</v>
      </c>
      <c r="F58" s="75">
        <f>D38+D35+(D39/3)</f>
        <v>2533.333333333333</v>
      </c>
      <c r="G58" s="9" t="s">
        <v>8</v>
      </c>
    </row>
    <row r="59" spans="1:7" ht="17.7" x14ac:dyDescent="0.75">
      <c r="A59" s="67" t="s">
        <v>26</v>
      </c>
      <c r="B59" s="67"/>
      <c r="C59" s="67"/>
      <c r="D59" s="67"/>
      <c r="E59" s="9" t="s">
        <v>202</v>
      </c>
      <c r="F59" s="3">
        <f>F49*D40</f>
        <v>2500000</v>
      </c>
      <c r="G59" s="9" t="s">
        <v>150</v>
      </c>
    </row>
    <row r="60" spans="1:7" ht="16.8" x14ac:dyDescent="0.75">
      <c r="A60" s="67" t="s">
        <v>27</v>
      </c>
      <c r="B60" s="67"/>
      <c r="C60" s="67"/>
      <c r="D60" s="67"/>
      <c r="E60" s="9" t="s">
        <v>203</v>
      </c>
      <c r="F60" s="3">
        <f>F49/2</f>
        <v>2500</v>
      </c>
      <c r="G60" s="9" t="s">
        <v>8</v>
      </c>
    </row>
    <row r="61" spans="1:7" ht="17.7" x14ac:dyDescent="0.75">
      <c r="A61" s="67" t="s">
        <v>53</v>
      </c>
      <c r="B61" s="67"/>
      <c r="C61" s="67"/>
      <c r="D61" s="67"/>
      <c r="E61" s="9" t="s">
        <v>204</v>
      </c>
      <c r="F61" s="3">
        <f>F50*D39</f>
        <v>25900000</v>
      </c>
      <c r="G61" s="9" t="s">
        <v>150</v>
      </c>
    </row>
    <row r="62" spans="1:7" ht="16.8" x14ac:dyDescent="0.75">
      <c r="A62" s="67" t="s">
        <v>29</v>
      </c>
      <c r="B62" s="67"/>
      <c r="C62" s="67"/>
      <c r="D62" s="67"/>
      <c r="E62" s="9" t="s">
        <v>205</v>
      </c>
      <c r="F62" s="3">
        <f>F49-(D39/2)</f>
        <v>3150</v>
      </c>
      <c r="G62" s="9" t="s">
        <v>8</v>
      </c>
    </row>
    <row r="63" spans="1:7" ht="16.8" x14ac:dyDescent="0.75">
      <c r="A63" s="67" t="s">
        <v>30</v>
      </c>
      <c r="B63" s="67"/>
      <c r="C63" s="67"/>
      <c r="D63" s="67"/>
      <c r="E63" s="9" t="s">
        <v>206</v>
      </c>
      <c r="F63" s="35">
        <f>F50/3</f>
        <v>2333.3333333333335</v>
      </c>
      <c r="G63" s="9" t="s">
        <v>8</v>
      </c>
    </row>
    <row r="64" spans="1:7" ht="17.7" x14ac:dyDescent="0.75">
      <c r="A64" s="67" t="s">
        <v>54</v>
      </c>
      <c r="B64" s="67"/>
      <c r="C64" s="67"/>
      <c r="D64" s="67"/>
      <c r="E64" s="9" t="s">
        <v>207</v>
      </c>
      <c r="F64" s="3">
        <f>D42*D38</f>
        <v>300000</v>
      </c>
      <c r="G64" s="9" t="s">
        <v>150</v>
      </c>
    </row>
    <row r="65" spans="1:11" ht="16.8" x14ac:dyDescent="0.75">
      <c r="A65" s="67" t="s">
        <v>29</v>
      </c>
      <c r="B65" s="67"/>
      <c r="C65" s="67"/>
      <c r="D65" s="67"/>
      <c r="E65" s="9" t="s">
        <v>208</v>
      </c>
      <c r="F65" s="3">
        <f>D38/2</f>
        <v>500</v>
      </c>
      <c r="G65" s="9" t="s">
        <v>8</v>
      </c>
    </row>
    <row r="66" spans="1:11" ht="16.8" x14ac:dyDescent="0.75">
      <c r="A66" s="67" t="s">
        <v>30</v>
      </c>
      <c r="B66" s="67"/>
      <c r="C66" s="67"/>
      <c r="D66" s="67"/>
      <c r="E66" s="9" t="s">
        <v>209</v>
      </c>
      <c r="F66" s="3">
        <f>D42/3</f>
        <v>100</v>
      </c>
      <c r="G66" s="9" t="s">
        <v>8</v>
      </c>
    </row>
    <row r="69" spans="1:11" x14ac:dyDescent="0.55000000000000004">
      <c r="D69" s="68" t="s">
        <v>45</v>
      </c>
      <c r="E69" s="68"/>
      <c r="F69" s="68"/>
      <c r="G69" s="68"/>
      <c r="H69" s="68"/>
      <c r="I69" s="68"/>
    </row>
    <row r="70" spans="1:11" ht="16.8" x14ac:dyDescent="0.75">
      <c r="D70" s="40" t="s">
        <v>184</v>
      </c>
      <c r="E70" s="41"/>
      <c r="F70" s="41"/>
      <c r="G70" s="64"/>
      <c r="H70" s="81">
        <f xml:space="preserve"> (1-SIN(RADIANS(J35/H44)))/(1+SIN(RADIANS(J35/H44)))</f>
        <v>0.49029059656570229</v>
      </c>
      <c r="I70" s="9"/>
    </row>
    <row r="71" spans="1:11" ht="16.8" x14ac:dyDescent="0.75">
      <c r="D71" s="40" t="s">
        <v>185</v>
      </c>
      <c r="E71" s="41"/>
      <c r="F71" s="41"/>
      <c r="G71" s="64"/>
      <c r="H71" s="81">
        <f xml:space="preserve"> (1+SIN(RADIANS(J35/H44)))/(1-SIN(RADIANS(J35/H44)))</f>
        <v>2.0396067291614743</v>
      </c>
      <c r="I71" s="9"/>
    </row>
    <row r="74" spans="1:11" x14ac:dyDescent="0.55000000000000004">
      <c r="A74" s="68" t="s">
        <v>46</v>
      </c>
      <c r="B74" s="68"/>
      <c r="C74" s="68"/>
      <c r="D74" s="68"/>
      <c r="F74" s="68" t="s">
        <v>59</v>
      </c>
      <c r="G74" s="68"/>
      <c r="H74" s="68"/>
      <c r="I74" s="68"/>
      <c r="J74" s="11"/>
      <c r="K74" s="11"/>
    </row>
    <row r="75" spans="1:11" x14ac:dyDescent="0.55000000000000004">
      <c r="A75" s="42" t="s">
        <v>47</v>
      </c>
      <c r="B75" s="42"/>
      <c r="C75" s="42"/>
      <c r="D75" s="42"/>
      <c r="F75" s="42" t="s">
        <v>60</v>
      </c>
      <c r="G75" s="42"/>
      <c r="H75" s="42"/>
      <c r="I75" s="42"/>
    </row>
    <row r="76" spans="1:11" ht="16.8" x14ac:dyDescent="0.75">
      <c r="A76" s="9" t="s">
        <v>50</v>
      </c>
      <c r="B76" s="9" t="s">
        <v>166</v>
      </c>
      <c r="C76" s="12">
        <f>F55*J35/10^6</f>
        <v>52.5</v>
      </c>
      <c r="D76" s="9" t="s">
        <v>124</v>
      </c>
      <c r="F76" s="9" t="s">
        <v>50</v>
      </c>
      <c r="G76" s="9" t="s">
        <v>176</v>
      </c>
      <c r="H76" s="12">
        <f>C76*F56/1000</f>
        <v>60.375</v>
      </c>
      <c r="I76" s="9" t="s">
        <v>127</v>
      </c>
    </row>
    <row r="77" spans="1:11" ht="16.8" x14ac:dyDescent="0.75">
      <c r="A77" s="9" t="s">
        <v>48</v>
      </c>
      <c r="B77" s="9" t="s">
        <v>167</v>
      </c>
      <c r="C77" s="12">
        <f>F57*D37/D36*J35/10^6</f>
        <v>22.662500000000001</v>
      </c>
      <c r="D77" s="9" t="s">
        <v>124</v>
      </c>
      <c r="F77" s="9" t="s">
        <v>48</v>
      </c>
      <c r="G77" s="9" t="s">
        <v>177</v>
      </c>
      <c r="H77" s="12">
        <f>C77*F58/1000</f>
        <v>57.411666666666662</v>
      </c>
      <c r="I77" s="9" t="s">
        <v>127</v>
      </c>
    </row>
    <row r="78" spans="1:11" ht="16.8" x14ac:dyDescent="0.75">
      <c r="A78" s="9" t="s">
        <v>49</v>
      </c>
      <c r="B78" s="9" t="s">
        <v>168</v>
      </c>
      <c r="C78" s="12">
        <f>F59*J35/10^6</f>
        <v>62.5</v>
      </c>
      <c r="D78" s="9" t="s">
        <v>124</v>
      </c>
      <c r="F78" s="9" t="s">
        <v>61</v>
      </c>
      <c r="G78" s="9" t="s">
        <v>178</v>
      </c>
      <c r="H78" s="12">
        <f>C78*F60/1000</f>
        <v>156.25</v>
      </c>
      <c r="I78" s="9" t="s">
        <v>127</v>
      </c>
    </row>
    <row r="79" spans="1:11" ht="16.8" x14ac:dyDescent="0.75">
      <c r="A79" s="9" t="s">
        <v>52</v>
      </c>
      <c r="B79" s="9" t="s">
        <v>169</v>
      </c>
      <c r="C79" s="12">
        <f>F61*J34/10^6</f>
        <v>466.2</v>
      </c>
      <c r="D79" s="9" t="s">
        <v>124</v>
      </c>
      <c r="F79" s="9" t="s">
        <v>52</v>
      </c>
      <c r="G79" s="9" t="s">
        <v>188</v>
      </c>
      <c r="H79" s="12">
        <f>C79*F62/1000</f>
        <v>1468.53</v>
      </c>
      <c r="I79" s="9" t="s">
        <v>127</v>
      </c>
    </row>
    <row r="80" spans="1:11" ht="16.8" x14ac:dyDescent="0.75">
      <c r="A80" s="9" t="s">
        <v>57</v>
      </c>
      <c r="B80" s="9" t="s">
        <v>170</v>
      </c>
      <c r="C80" s="12">
        <f>F64*J34/10^6</f>
        <v>5.4</v>
      </c>
      <c r="D80" s="9" t="s">
        <v>124</v>
      </c>
      <c r="F80" s="9" t="s">
        <v>57</v>
      </c>
      <c r="G80" s="9" t="s">
        <v>189</v>
      </c>
      <c r="H80" s="12">
        <f>C80*F65/1000</f>
        <v>2.7</v>
      </c>
      <c r="I80" s="9" t="s">
        <v>127</v>
      </c>
    </row>
    <row r="81" spans="1:9" ht="16.8" x14ac:dyDescent="0.75">
      <c r="A81" s="9" t="s">
        <v>51</v>
      </c>
      <c r="B81" s="9" t="s">
        <v>171</v>
      </c>
      <c r="C81" s="12">
        <f>D45*F51/1000</f>
        <v>37</v>
      </c>
      <c r="D81" s="9" t="s">
        <v>124</v>
      </c>
      <c r="F81" s="9" t="s">
        <v>62</v>
      </c>
      <c r="G81" s="9" t="s">
        <v>181</v>
      </c>
      <c r="H81" s="12">
        <v>0</v>
      </c>
      <c r="I81" s="9" t="s">
        <v>127</v>
      </c>
    </row>
    <row r="82" spans="1:9" ht="16.8" x14ac:dyDescent="0.75">
      <c r="A82" s="9"/>
      <c r="B82" s="9" t="s">
        <v>186</v>
      </c>
      <c r="C82" s="12">
        <f xml:space="preserve"> H42*(C76+C77+C78+C79+C81)*TAN(RADIANS(J37))+(H42*C80)</f>
        <v>337.86192319968291</v>
      </c>
      <c r="D82" s="9" t="s">
        <v>124</v>
      </c>
      <c r="F82" s="9"/>
      <c r="G82" s="9" t="s">
        <v>190</v>
      </c>
      <c r="H82" s="12">
        <f>H42*(H76+H77+H78+H79+H80)</f>
        <v>1570.74</v>
      </c>
      <c r="I82" s="9" t="s">
        <v>127</v>
      </c>
    </row>
    <row r="83" spans="1:9" x14ac:dyDescent="0.55000000000000004">
      <c r="A83" s="42" t="s">
        <v>58</v>
      </c>
      <c r="B83" s="42"/>
      <c r="C83" s="42"/>
      <c r="D83" s="42"/>
      <c r="F83" s="42" t="s">
        <v>64</v>
      </c>
      <c r="G83" s="42"/>
      <c r="H83" s="42"/>
      <c r="I83" s="42"/>
    </row>
    <row r="84" spans="1:9" ht="16.8" x14ac:dyDescent="0.75">
      <c r="A84" s="9" t="s">
        <v>52</v>
      </c>
      <c r="B84" s="9" t="s">
        <v>173</v>
      </c>
      <c r="C84" s="12">
        <f>0.5*(H70*J34*(F53/1000)^2)</f>
        <v>248.2096145113868</v>
      </c>
      <c r="D84" s="9" t="s">
        <v>124</v>
      </c>
      <c r="F84" s="9" t="s">
        <v>52</v>
      </c>
      <c r="G84" s="9" t="s">
        <v>179</v>
      </c>
      <c r="H84" s="12">
        <f>H41*C84*F53/3*1/1000</f>
        <v>682.57643990631379</v>
      </c>
      <c r="I84" s="9" t="s">
        <v>127</v>
      </c>
    </row>
    <row r="85" spans="1:9" ht="16.8" x14ac:dyDescent="0.75">
      <c r="A85" s="9" t="s">
        <v>51</v>
      </c>
      <c r="B85" s="9" t="s">
        <v>174</v>
      </c>
      <c r="C85" s="12">
        <f>H70*D45*F53/1000</f>
        <v>36.771794742427673</v>
      </c>
      <c r="D85" s="9" t="s">
        <v>124</v>
      </c>
      <c r="F85" s="9" t="s">
        <v>62</v>
      </c>
      <c r="G85" s="9" t="s">
        <v>181</v>
      </c>
      <c r="H85" s="12">
        <f>J41*(C85)*F54/1000</f>
        <v>206.84134542615567</v>
      </c>
      <c r="I85" s="9" t="s">
        <v>127</v>
      </c>
    </row>
    <row r="86" spans="1:9" ht="16.8" x14ac:dyDescent="0.75">
      <c r="A86" s="9"/>
      <c r="B86" s="9" t="s">
        <v>187</v>
      </c>
      <c r="C86" s="12">
        <f>(H41*C84)+(J41*C85)</f>
        <v>328.18826807616705</v>
      </c>
      <c r="D86" s="9" t="s">
        <v>124</v>
      </c>
      <c r="F86" s="9"/>
      <c r="G86" s="9" t="s">
        <v>191</v>
      </c>
      <c r="H86" s="12">
        <f>H84+H85</f>
        <v>889.41778533246952</v>
      </c>
      <c r="I86" s="9" t="s">
        <v>127</v>
      </c>
    </row>
    <row r="87" spans="1:9" x14ac:dyDescent="0.55000000000000004">
      <c r="A87" s="43" t="s">
        <v>66</v>
      </c>
      <c r="B87" s="43"/>
      <c r="C87" s="28">
        <f>C86/C82</f>
        <v>0.9713680220845764</v>
      </c>
      <c r="D87" s="13" t="str">
        <f>IF(C82&gt;=C86,"Pass","Fail")</f>
        <v>Pass</v>
      </c>
      <c r="F87" s="43" t="s">
        <v>65</v>
      </c>
      <c r="G87" s="43"/>
      <c r="H87" s="21">
        <f>H86/H82</f>
        <v>0.56624125274231862</v>
      </c>
      <c r="I87" s="13" t="str">
        <f>IF(H87&lt;=1,"Pass","Fail")</f>
        <v>Pass</v>
      </c>
    </row>
    <row r="90" spans="1:9" x14ac:dyDescent="0.55000000000000004">
      <c r="A90" s="45" t="s">
        <v>130</v>
      </c>
      <c r="B90" s="45"/>
      <c r="C90" s="45"/>
      <c r="D90" s="45"/>
      <c r="E90" s="45"/>
      <c r="F90" s="45"/>
      <c r="G90" s="45"/>
      <c r="H90" s="45"/>
      <c r="I90" s="45"/>
    </row>
    <row r="91" spans="1:9" x14ac:dyDescent="0.55000000000000004">
      <c r="A91" s="42" t="s">
        <v>67</v>
      </c>
      <c r="B91" s="42"/>
      <c r="C91" s="42"/>
      <c r="D91" s="42"/>
      <c r="E91" s="7"/>
      <c r="F91" s="42" t="s">
        <v>68</v>
      </c>
      <c r="G91" s="42"/>
      <c r="H91" s="42"/>
      <c r="I91" s="42"/>
    </row>
    <row r="92" spans="1:9" ht="16.8" x14ac:dyDescent="0.75">
      <c r="A92" s="9" t="s">
        <v>50</v>
      </c>
      <c r="B92" s="9" t="s">
        <v>166</v>
      </c>
      <c r="C92" s="12">
        <f>F55*J35/10^6</f>
        <v>52.5</v>
      </c>
      <c r="D92" s="9" t="s">
        <v>124</v>
      </c>
      <c r="E92" s="9"/>
      <c r="F92" s="9" t="s">
        <v>50</v>
      </c>
      <c r="G92" s="9" t="s">
        <v>176</v>
      </c>
      <c r="H92" s="21">
        <f>C76*F56/1000</f>
        <v>60.375</v>
      </c>
      <c r="I92" s="9" t="s">
        <v>127</v>
      </c>
    </row>
    <row r="93" spans="1:9" ht="16.8" x14ac:dyDescent="0.75">
      <c r="A93" s="9" t="s">
        <v>48</v>
      </c>
      <c r="B93" s="9" t="s">
        <v>167</v>
      </c>
      <c r="C93" s="21">
        <f>F57*D37/D36*J35/10^6</f>
        <v>22.662500000000001</v>
      </c>
      <c r="D93" s="9" t="s">
        <v>124</v>
      </c>
      <c r="E93" s="9"/>
      <c r="F93" s="9" t="s">
        <v>48</v>
      </c>
      <c r="G93" s="9" t="s">
        <v>177</v>
      </c>
      <c r="H93" s="21">
        <f>C77*F58/1000</f>
        <v>57.411666666666662</v>
      </c>
      <c r="I93" s="9" t="s">
        <v>127</v>
      </c>
    </row>
    <row r="94" spans="1:9" ht="16.8" x14ac:dyDescent="0.75">
      <c r="A94" s="9" t="s">
        <v>49</v>
      </c>
      <c r="B94" s="9" t="s">
        <v>168</v>
      </c>
      <c r="C94" s="12">
        <f>F59*J35/10^6</f>
        <v>62.5</v>
      </c>
      <c r="D94" s="9" t="s">
        <v>124</v>
      </c>
      <c r="E94" s="9"/>
      <c r="F94" s="9" t="s">
        <v>61</v>
      </c>
      <c r="G94" s="9" t="s">
        <v>178</v>
      </c>
      <c r="H94" s="21">
        <f>C78*F60/1000</f>
        <v>156.25</v>
      </c>
      <c r="I94" s="9" t="s">
        <v>127</v>
      </c>
    </row>
    <row r="95" spans="1:9" ht="16.8" x14ac:dyDescent="0.75">
      <c r="A95" s="9" t="s">
        <v>52</v>
      </c>
      <c r="B95" s="9" t="s">
        <v>169</v>
      </c>
      <c r="C95" s="12">
        <f>F61*J34/10^6</f>
        <v>466.2</v>
      </c>
      <c r="D95" s="9" t="s">
        <v>124</v>
      </c>
      <c r="E95" s="9"/>
      <c r="F95" s="9" t="s">
        <v>52</v>
      </c>
      <c r="G95" s="9" t="s">
        <v>179</v>
      </c>
      <c r="H95" s="21">
        <f>(C79*F62/1000)-(C100*F63/1000)</f>
        <v>889.3742328067641</v>
      </c>
      <c r="I95" s="9" t="s">
        <v>127</v>
      </c>
    </row>
    <row r="96" spans="1:9" ht="16.8" x14ac:dyDescent="0.75">
      <c r="A96" s="9" t="s">
        <v>57</v>
      </c>
      <c r="B96" s="9" t="s">
        <v>170</v>
      </c>
      <c r="C96" s="12">
        <f>F64*J34/10^6</f>
        <v>5.4</v>
      </c>
      <c r="D96" s="9" t="s">
        <v>124</v>
      </c>
      <c r="E96" s="9"/>
      <c r="F96" s="9" t="s">
        <v>57</v>
      </c>
      <c r="G96" s="9" t="s">
        <v>180</v>
      </c>
      <c r="H96" s="21">
        <f>(C80*F65/1000)-(C102*F66/1000)</f>
        <v>2.5347918549379207</v>
      </c>
      <c r="I96" s="9" t="s">
        <v>127</v>
      </c>
    </row>
    <row r="97" spans="1:11" ht="16.8" x14ac:dyDescent="0.75">
      <c r="A97" s="9" t="s">
        <v>51</v>
      </c>
      <c r="B97" s="9" t="s">
        <v>171</v>
      </c>
      <c r="C97" s="12">
        <f>D45*F51/1000</f>
        <v>37</v>
      </c>
      <c r="D97" s="9" t="s">
        <v>124</v>
      </c>
      <c r="E97" s="9"/>
      <c r="F97" s="9" t="s">
        <v>62</v>
      </c>
      <c r="G97" s="9" t="s">
        <v>181</v>
      </c>
      <c r="H97" s="21">
        <f>(C97*F52/1000)-(C101*F54/1000)</f>
        <v>-21.344230284103773</v>
      </c>
      <c r="I97" s="9" t="s">
        <v>127</v>
      </c>
    </row>
    <row r="98" spans="1:11" ht="16.8" x14ac:dyDescent="0.75">
      <c r="A98" s="9"/>
      <c r="B98" s="9" t="s">
        <v>172</v>
      </c>
      <c r="C98" s="80">
        <f>SUM(C92:C97)</f>
        <v>646.26249999999993</v>
      </c>
      <c r="D98" s="9" t="s">
        <v>214</v>
      </c>
      <c r="E98" s="9"/>
      <c r="F98" s="9"/>
      <c r="G98" s="9" t="s">
        <v>69</v>
      </c>
      <c r="H98" s="21">
        <f>SUM(H92:H97)</f>
        <v>1144.6014610442649</v>
      </c>
      <c r="I98" s="9" t="s">
        <v>127</v>
      </c>
    </row>
    <row r="99" spans="1:11" x14ac:dyDescent="0.55000000000000004">
      <c r="A99" s="42" t="s">
        <v>70</v>
      </c>
      <c r="B99" s="42"/>
      <c r="C99" s="42"/>
      <c r="D99" s="42"/>
      <c r="E99" s="44" t="s">
        <v>71</v>
      </c>
      <c r="F99" s="44"/>
      <c r="G99" s="9" t="s">
        <v>73</v>
      </c>
      <c r="H99" s="21">
        <f>(H98/C98)*1000 -(F49/2)</f>
        <v>-728.89079740157467</v>
      </c>
      <c r="I99" s="9" t="s">
        <v>8</v>
      </c>
    </row>
    <row r="100" spans="1:11" ht="17.7" x14ac:dyDescent="0.75">
      <c r="A100" s="9" t="s">
        <v>52</v>
      </c>
      <c r="B100" s="9" t="s">
        <v>173</v>
      </c>
      <c r="C100" s="12">
        <f>0.5*(H70*J34*(F53/1000)^2)</f>
        <v>248.2096145113868</v>
      </c>
      <c r="D100" s="9" t="s">
        <v>124</v>
      </c>
      <c r="E100" s="44" t="s">
        <v>72</v>
      </c>
      <c r="F100" s="44"/>
      <c r="G100" s="9" t="s">
        <v>182</v>
      </c>
      <c r="H100" s="21">
        <f>(C98/(F49/1000)*(1-6*(H99/1000)/(F49/1000)))</f>
        <v>242.30564934937641</v>
      </c>
      <c r="I100" s="9" t="s">
        <v>210</v>
      </c>
    </row>
    <row r="101" spans="1:11" ht="17.7" x14ac:dyDescent="0.75">
      <c r="A101" s="9" t="s">
        <v>51</v>
      </c>
      <c r="B101" s="9" t="s">
        <v>174</v>
      </c>
      <c r="C101" s="12">
        <f>H70*D45*F53/1000</f>
        <v>36.771794742427673</v>
      </c>
      <c r="D101" s="9" t="s">
        <v>124</v>
      </c>
      <c r="E101" s="44" t="s">
        <v>72</v>
      </c>
      <c r="F101" s="44"/>
      <c r="G101" s="9" t="s">
        <v>183</v>
      </c>
      <c r="H101" s="21">
        <f>(C98/(F49/1000)*(1+6*(H99/1000)/(F49/1000)))</f>
        <v>16.199350650623561</v>
      </c>
      <c r="I101" s="9" t="s">
        <v>210</v>
      </c>
    </row>
    <row r="102" spans="1:11" ht="16.8" x14ac:dyDescent="0.75">
      <c r="A102" s="9" t="s">
        <v>57</v>
      </c>
      <c r="B102" s="9" t="s">
        <v>175</v>
      </c>
      <c r="C102" s="12">
        <f xml:space="preserve"> 0.5*H71*J34*(D42/1000)^2</f>
        <v>1.6520814506207941</v>
      </c>
      <c r="D102" s="9" t="s">
        <v>124</v>
      </c>
      <c r="E102" s="44" t="s">
        <v>74</v>
      </c>
      <c r="F102" s="44"/>
      <c r="G102" s="44"/>
      <c r="H102" s="13" t="str">
        <f>IF(J46&lt;=MAX(H100,H101),"Fail","Pass")</f>
        <v>Pass</v>
      </c>
      <c r="I102" s="9"/>
    </row>
    <row r="104" spans="1:11" x14ac:dyDescent="0.55000000000000004">
      <c r="B104" s="46" t="s">
        <v>129</v>
      </c>
      <c r="C104" s="47"/>
      <c r="D104" s="47"/>
      <c r="E104" s="47"/>
      <c r="F104" s="47"/>
      <c r="G104" s="47"/>
    </row>
    <row r="105" spans="1:11" x14ac:dyDescent="0.55000000000000004">
      <c r="I105" s="45" t="s">
        <v>212</v>
      </c>
      <c r="J105" s="45"/>
      <c r="K105" s="45"/>
    </row>
    <row r="106" spans="1:11" ht="17.7" x14ac:dyDescent="0.75">
      <c r="I106" s="9" t="s">
        <v>160</v>
      </c>
      <c r="J106" s="12">
        <f>K44*0.5*(H70*J34*(F53/1000))</f>
        <v>44.677730612049622</v>
      </c>
      <c r="K106" s="9" t="s">
        <v>210</v>
      </c>
    </row>
    <row r="107" spans="1:11" ht="17.7" x14ac:dyDescent="0.75">
      <c r="I107" s="9" t="s">
        <v>161</v>
      </c>
      <c r="J107" s="12">
        <f>K45*H70*D45</f>
        <v>7.3543589484855341</v>
      </c>
      <c r="K107" s="9" t="s">
        <v>210</v>
      </c>
    </row>
    <row r="108" spans="1:11" ht="17.7" x14ac:dyDescent="0.75">
      <c r="I108" s="9" t="s">
        <v>162</v>
      </c>
      <c r="J108" s="12">
        <f>((K44*(C92+C93+C94+C95+C96)+K45*C97)/(F49/1000)*(1-6*((((K44*(H92+H93+H94+H95+H96)+(K45*H97))/(K44*(C92+C93+C94+C95+C96)+K45*C97))*1000 -(F49/2))/1000)/(F49/1000)))</f>
        <v>332.32101891188586</v>
      </c>
      <c r="K108" s="9" t="s">
        <v>210</v>
      </c>
    </row>
    <row r="109" spans="1:11" ht="17.7" x14ac:dyDescent="0.75">
      <c r="I109" s="9" t="s">
        <v>163</v>
      </c>
      <c r="J109" s="12">
        <f>((K44*(C92+C93+C94+C95+C96)+K45*C97)/(F49/1000)*(1+6*((((K44*(H92+H93+H94+H95+H96)+(K45*H97))/(K44*(C92+C93+C94+C95+C96)+K45*C97))*1000 -(F49/2))/1000)/(F49/1000)))</f>
        <v>18.880731088114146</v>
      </c>
      <c r="K109" s="9" t="s">
        <v>210</v>
      </c>
    </row>
    <row r="110" spans="1:11" ht="17.7" x14ac:dyDescent="0.75">
      <c r="I110" s="9" t="s">
        <v>164</v>
      </c>
      <c r="J110" s="12">
        <f>J109+((D39/F49)*(J108-J109))</f>
        <v>250.82654407770522</v>
      </c>
      <c r="K110" s="9" t="s">
        <v>210</v>
      </c>
    </row>
    <row r="111" spans="1:11" ht="17.7" x14ac:dyDescent="0.75">
      <c r="I111" s="9" t="s">
        <v>165</v>
      </c>
      <c r="J111" s="12">
        <f>J109+((D39+D35)/F49)*(J108-J109)</f>
        <v>269.63296134713153</v>
      </c>
      <c r="K111" s="9" t="s">
        <v>210</v>
      </c>
    </row>
    <row r="114" spans="1:10" x14ac:dyDescent="0.55000000000000004">
      <c r="J114" s="79"/>
    </row>
    <row r="125" spans="1:10" x14ac:dyDescent="0.55000000000000004">
      <c r="A125" s="23" t="s">
        <v>213</v>
      </c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 x14ac:dyDescent="0.55000000000000004">
      <c r="A126" s="22"/>
      <c r="B126" s="36" t="s">
        <v>131</v>
      </c>
      <c r="C126" s="36"/>
      <c r="D126" s="36"/>
      <c r="E126" s="36"/>
      <c r="F126" s="36" t="s">
        <v>132</v>
      </c>
      <c r="G126" s="36"/>
      <c r="H126" s="36"/>
      <c r="I126" s="36"/>
      <c r="J126" s="36"/>
    </row>
    <row r="127" spans="1:10" x14ac:dyDescent="0.55000000000000004">
      <c r="A127" s="22"/>
      <c r="B127" s="36" t="s">
        <v>133</v>
      </c>
      <c r="C127" s="36"/>
      <c r="D127" s="36"/>
      <c r="E127" s="36"/>
      <c r="F127" s="22">
        <v>1</v>
      </c>
      <c r="G127" s="22">
        <v>1.25</v>
      </c>
      <c r="H127" s="22">
        <v>1.5</v>
      </c>
      <c r="I127" s="22">
        <v>1.75</v>
      </c>
      <c r="J127" s="22">
        <v>2</v>
      </c>
    </row>
    <row r="128" spans="1:10" x14ac:dyDescent="0.55000000000000004">
      <c r="A128" s="22"/>
      <c r="B128" s="36" t="s">
        <v>134</v>
      </c>
      <c r="C128" s="36"/>
      <c r="D128" s="36"/>
      <c r="E128" s="36"/>
      <c r="F128" s="22">
        <v>2.7E-2</v>
      </c>
      <c r="G128" s="22">
        <v>2.9000000000000001E-2</v>
      </c>
      <c r="H128" s="22">
        <v>3.1E-2</v>
      </c>
      <c r="I128" s="22">
        <v>3.2000000000000001E-2</v>
      </c>
      <c r="J128" s="22">
        <v>3.4000000000000002E-2</v>
      </c>
    </row>
    <row r="129" spans="1:10" x14ac:dyDescent="0.55000000000000004">
      <c r="A129" s="22"/>
      <c r="B129" s="36" t="s">
        <v>135</v>
      </c>
      <c r="C129" s="36"/>
      <c r="D129" s="36"/>
      <c r="E129" s="36"/>
      <c r="F129" s="22">
        <v>5.7000000000000002E-2</v>
      </c>
      <c r="G129" s="25">
        <v>0.06</v>
      </c>
      <c r="H129" s="22">
        <v>6.3E-2</v>
      </c>
      <c r="I129" s="22">
        <v>6.6000000000000003E-2</v>
      </c>
      <c r="J129" s="22">
        <v>6.9000000000000006E-2</v>
      </c>
    </row>
    <row r="132" spans="1:10" x14ac:dyDescent="0.55000000000000004">
      <c r="A132" s="45" t="s">
        <v>91</v>
      </c>
      <c r="B132" s="45"/>
      <c r="C132" s="45"/>
      <c r="D132" s="45"/>
      <c r="E132" s="45"/>
      <c r="F132" s="45"/>
      <c r="G132" s="45"/>
      <c r="H132" s="45"/>
    </row>
    <row r="133" spans="1:10" ht="16.5" x14ac:dyDescent="0.55000000000000004">
      <c r="A133" s="37" t="s">
        <v>76</v>
      </c>
      <c r="B133" s="38"/>
      <c r="C133" s="38"/>
      <c r="D133" s="39"/>
      <c r="E133" s="40" t="s">
        <v>136</v>
      </c>
      <c r="F133" s="39"/>
      <c r="G133" s="33">
        <f>J107+(0.75*J106)</f>
        <v>40.862656907522748</v>
      </c>
      <c r="H133" s="8" t="s">
        <v>159</v>
      </c>
    </row>
    <row r="134" spans="1:10" x14ac:dyDescent="0.55000000000000004">
      <c r="A134" s="40" t="s">
        <v>137</v>
      </c>
      <c r="B134" s="41"/>
      <c r="C134" s="19">
        <f>D34/D36</f>
        <v>1.4</v>
      </c>
      <c r="D134" s="20"/>
      <c r="E134" s="24" t="s">
        <v>138</v>
      </c>
      <c r="F134" s="77">
        <v>3.1E-2</v>
      </c>
      <c r="G134" s="8" t="s">
        <v>139</v>
      </c>
      <c r="H134" s="77">
        <v>6.3E-2</v>
      </c>
    </row>
    <row r="135" spans="1:10" x14ac:dyDescent="0.55000000000000004">
      <c r="A135" s="69" t="s">
        <v>90</v>
      </c>
      <c r="B135" s="70"/>
      <c r="C135" s="12">
        <f>F134*G133*(D36/1000)^2</f>
        <v>31.668559103330129</v>
      </c>
      <c r="D135" s="9" t="s">
        <v>63</v>
      </c>
      <c r="E135" s="43" t="s">
        <v>78</v>
      </c>
      <c r="F135" s="43"/>
      <c r="G135" s="76">
        <v>50</v>
      </c>
      <c r="H135" s="9" t="s">
        <v>8</v>
      </c>
    </row>
    <row r="136" spans="1:10" x14ac:dyDescent="0.55000000000000004">
      <c r="A136" s="69" t="s">
        <v>89</v>
      </c>
      <c r="B136" s="70"/>
      <c r="C136" s="12">
        <f>H134*G133*(D36/1000)^2</f>
        <v>64.358684629348332</v>
      </c>
      <c r="D136" s="9" t="s">
        <v>63</v>
      </c>
      <c r="E136" s="43" t="s">
        <v>79</v>
      </c>
      <c r="F136" s="43"/>
      <c r="G136" s="76">
        <v>50</v>
      </c>
      <c r="H136" s="9" t="s">
        <v>8</v>
      </c>
    </row>
    <row r="137" spans="1:10" x14ac:dyDescent="0.55000000000000004">
      <c r="A137" s="40" t="s">
        <v>97</v>
      </c>
      <c r="B137" s="64"/>
      <c r="C137" s="12">
        <f>D35</f>
        <v>300</v>
      </c>
      <c r="D137" s="9" t="s">
        <v>8</v>
      </c>
      <c r="E137" s="43" t="s">
        <v>80</v>
      </c>
      <c r="F137" s="43"/>
      <c r="G137" s="76">
        <f>C137-(G135+C138/2)</f>
        <v>244</v>
      </c>
      <c r="H137" s="9"/>
    </row>
    <row r="138" spans="1:10" x14ac:dyDescent="0.55000000000000004">
      <c r="A138" s="40" t="s">
        <v>81</v>
      </c>
      <c r="B138" s="64"/>
      <c r="C138" s="78">
        <v>12</v>
      </c>
      <c r="D138" s="9" t="s">
        <v>8</v>
      </c>
      <c r="E138" s="43" t="s">
        <v>82</v>
      </c>
      <c r="F138" s="43"/>
      <c r="G138" s="76">
        <f>(G136+C139/2)</f>
        <v>56</v>
      </c>
      <c r="H138" s="9"/>
    </row>
    <row r="139" spans="1:10" x14ac:dyDescent="0.55000000000000004">
      <c r="A139" s="40" t="s">
        <v>83</v>
      </c>
      <c r="B139" s="64"/>
      <c r="C139" s="78">
        <v>12</v>
      </c>
      <c r="D139" s="9" t="s">
        <v>8</v>
      </c>
      <c r="E139" s="40"/>
      <c r="F139" s="64"/>
      <c r="G139" s="9"/>
      <c r="H139" s="9"/>
    </row>
    <row r="140" spans="1:10" x14ac:dyDescent="0.55000000000000004">
      <c r="A140" s="9"/>
      <c r="B140" s="9"/>
      <c r="C140" s="9"/>
      <c r="D140" s="9"/>
      <c r="E140" s="9"/>
      <c r="F140" s="9"/>
      <c r="G140" s="9"/>
      <c r="H140" s="9"/>
    </row>
    <row r="141" spans="1:10" x14ac:dyDescent="0.55000000000000004">
      <c r="A141" s="40" t="s">
        <v>92</v>
      </c>
      <c r="B141" s="41"/>
      <c r="C141" s="41"/>
      <c r="D141" s="64"/>
      <c r="E141" s="40" t="s">
        <v>93</v>
      </c>
      <c r="F141" s="41"/>
      <c r="G141" s="41"/>
      <c r="H141" s="64"/>
    </row>
    <row r="142" spans="1:10" x14ac:dyDescent="0.55000000000000004">
      <c r="A142" s="40" t="s">
        <v>85</v>
      </c>
      <c r="B142" s="64"/>
      <c r="C142" s="32">
        <v>0.16800000000000001</v>
      </c>
      <c r="D142" s="14"/>
      <c r="E142" s="14"/>
      <c r="F142" s="14" t="s">
        <v>85</v>
      </c>
      <c r="G142" s="34">
        <v>0.17</v>
      </c>
      <c r="H142" s="14"/>
    </row>
    <row r="143" spans="1:10" x14ac:dyDescent="0.55000000000000004">
      <c r="A143" s="40" t="s">
        <v>86</v>
      </c>
      <c r="B143" s="64"/>
      <c r="C143" s="21">
        <f>(C135*10^6)/(J38*10^3*G137^2)</f>
        <v>2.6596142756760723E-2</v>
      </c>
      <c r="D143" s="9"/>
      <c r="E143" s="9"/>
      <c r="F143" s="9" t="s">
        <v>85</v>
      </c>
      <c r="G143" s="12">
        <f>(C136*10^6)/(J38*10^3*G137^2)</f>
        <v>5.4050225602449216E-2</v>
      </c>
      <c r="H143" s="9"/>
    </row>
    <row r="144" spans="1:10" x14ac:dyDescent="0.55000000000000004">
      <c r="A144" s="40" t="s">
        <v>87</v>
      </c>
      <c r="B144" s="64"/>
      <c r="C144" s="21">
        <f>MIN(G137*(0.5+SQRT(0.25-(0.882*C143))), 0.95*G137)</f>
        <v>231.79999999999998</v>
      </c>
      <c r="D144" s="9" t="s">
        <v>8</v>
      </c>
      <c r="E144" s="9"/>
      <c r="F144" s="9" t="s">
        <v>87</v>
      </c>
      <c r="G144" s="21">
        <f>MIN(G137*(0.5+SQRT(0.25-(0.882*C143))), 0.95*G137)</f>
        <v>231.79999999999998</v>
      </c>
      <c r="H144" s="9" t="s">
        <v>8</v>
      </c>
    </row>
    <row r="145" spans="1:9" ht="16.5" x14ac:dyDescent="0.55000000000000004">
      <c r="A145" s="40" t="s">
        <v>88</v>
      </c>
      <c r="B145" s="64"/>
      <c r="C145" s="21">
        <f>C135*10^6/(0.87*J39*C144)</f>
        <v>383.01145486548427</v>
      </c>
      <c r="D145" s="9" t="s">
        <v>150</v>
      </c>
      <c r="E145" s="9"/>
      <c r="F145" s="9" t="s">
        <v>94</v>
      </c>
      <c r="G145" s="28">
        <f>C136*10^6/(0.87*J39*G144)</f>
        <v>778.3781179524359</v>
      </c>
      <c r="H145" s="9" t="s">
        <v>150</v>
      </c>
    </row>
    <row r="146" spans="1:9" ht="16.5" x14ac:dyDescent="0.55000000000000004">
      <c r="A146" s="40" t="s">
        <v>95</v>
      </c>
      <c r="B146" s="64"/>
      <c r="C146" s="21">
        <f>0.15/100*1000*G137</f>
        <v>366</v>
      </c>
      <c r="D146" s="9" t="s">
        <v>150</v>
      </c>
      <c r="E146" s="9"/>
      <c r="F146" s="9" t="s">
        <v>95</v>
      </c>
      <c r="G146" s="21">
        <f>0.15/100*1000*G137</f>
        <v>366</v>
      </c>
      <c r="H146" s="9" t="s">
        <v>150</v>
      </c>
    </row>
    <row r="149" spans="1:9" x14ac:dyDescent="0.55000000000000004">
      <c r="A149" s="37" t="s">
        <v>102</v>
      </c>
      <c r="B149" s="38"/>
      <c r="C149" s="38"/>
      <c r="D149" s="39"/>
      <c r="F149" s="37" t="s">
        <v>96</v>
      </c>
      <c r="G149" s="38"/>
      <c r="H149" s="38"/>
      <c r="I149" s="39"/>
    </row>
    <row r="150" spans="1:9" x14ac:dyDescent="0.55000000000000004">
      <c r="A150" s="37" t="s">
        <v>76</v>
      </c>
      <c r="B150" s="38"/>
      <c r="C150" s="38"/>
      <c r="D150" s="39"/>
      <c r="F150" s="37" t="s">
        <v>76</v>
      </c>
      <c r="G150" s="38"/>
      <c r="H150" s="38"/>
      <c r="I150" s="39"/>
    </row>
    <row r="151" spans="1:9" x14ac:dyDescent="0.55000000000000004">
      <c r="A151" s="40" t="s">
        <v>77</v>
      </c>
      <c r="B151" s="64"/>
      <c r="C151" s="21">
        <f>(J111*(D38/1000)^2/2) + ((J108-J111)*(D38/1000)^2)/6</f>
        <v>145.26449026769149</v>
      </c>
      <c r="D151" s="9" t="s">
        <v>127</v>
      </c>
      <c r="E151" s="16"/>
      <c r="F151" s="40" t="s">
        <v>77</v>
      </c>
      <c r="G151" s="64"/>
      <c r="H151" s="21">
        <f xml:space="preserve"> ((J109+0.75*J110) - ((K44*J34*D41/1000)))*(D36/1000)^2/12</f>
        <v>76.876331554985583</v>
      </c>
      <c r="I151" s="9" t="s">
        <v>127</v>
      </c>
    </row>
    <row r="152" spans="1:9" x14ac:dyDescent="0.55000000000000004">
      <c r="A152" s="40" t="s">
        <v>98</v>
      </c>
      <c r="B152" s="64"/>
      <c r="C152" s="12">
        <f>D40</f>
        <v>500</v>
      </c>
      <c r="D152" s="9" t="s">
        <v>8</v>
      </c>
      <c r="E152" s="16"/>
      <c r="F152" s="40" t="s">
        <v>98</v>
      </c>
      <c r="G152" s="64"/>
      <c r="H152" s="12">
        <f>D40</f>
        <v>500</v>
      </c>
      <c r="I152" s="9" t="s">
        <v>8</v>
      </c>
    </row>
    <row r="153" spans="1:9" x14ac:dyDescent="0.55000000000000004">
      <c r="A153" s="40" t="s">
        <v>81</v>
      </c>
      <c r="B153" s="64"/>
      <c r="C153" s="12">
        <v>16</v>
      </c>
      <c r="D153" s="9" t="s">
        <v>8</v>
      </c>
      <c r="E153" s="16"/>
      <c r="F153" s="40" t="s">
        <v>81</v>
      </c>
      <c r="G153" s="64"/>
      <c r="H153" s="12">
        <v>16</v>
      </c>
      <c r="I153" s="9" t="s">
        <v>8</v>
      </c>
    </row>
    <row r="154" spans="1:9" x14ac:dyDescent="0.55000000000000004">
      <c r="A154" s="40" t="s">
        <v>83</v>
      </c>
      <c r="B154" s="64"/>
      <c r="C154" s="12">
        <v>16</v>
      </c>
      <c r="D154" s="9" t="s">
        <v>8</v>
      </c>
      <c r="F154" s="40" t="s">
        <v>83</v>
      </c>
      <c r="G154" s="64"/>
      <c r="H154" s="12">
        <v>16</v>
      </c>
      <c r="I154" s="9" t="s">
        <v>8</v>
      </c>
    </row>
    <row r="155" spans="1:9" x14ac:dyDescent="0.55000000000000004">
      <c r="A155" s="40" t="s">
        <v>78</v>
      </c>
      <c r="B155" s="64"/>
      <c r="C155" s="12">
        <v>50</v>
      </c>
      <c r="D155" s="9" t="s">
        <v>8</v>
      </c>
      <c r="F155" s="40" t="s">
        <v>78</v>
      </c>
      <c r="G155" s="64"/>
      <c r="H155" s="12">
        <v>50</v>
      </c>
      <c r="I155" s="9" t="s">
        <v>8</v>
      </c>
    </row>
    <row r="156" spans="1:9" x14ac:dyDescent="0.55000000000000004">
      <c r="A156" s="40" t="s">
        <v>99</v>
      </c>
      <c r="B156" s="64"/>
      <c r="C156" s="12">
        <v>50</v>
      </c>
      <c r="D156" s="9" t="s">
        <v>8</v>
      </c>
      <c r="F156" s="40" t="s">
        <v>99</v>
      </c>
      <c r="G156" s="64"/>
      <c r="H156" s="12">
        <v>50</v>
      </c>
      <c r="I156" s="9" t="s">
        <v>8</v>
      </c>
    </row>
    <row r="157" spans="1:9" x14ac:dyDescent="0.55000000000000004">
      <c r="A157" s="40" t="s">
        <v>100</v>
      </c>
      <c r="B157" s="64"/>
      <c r="C157" s="12">
        <f>C152-(C155+C153/2)</f>
        <v>442</v>
      </c>
      <c r="D157" s="9" t="s">
        <v>8</v>
      </c>
      <c r="F157" s="40" t="s">
        <v>100</v>
      </c>
      <c r="G157" s="64"/>
      <c r="H157" s="12">
        <f>H152-(H155+H153/2)</f>
        <v>442</v>
      </c>
      <c r="I157" s="9" t="s">
        <v>8</v>
      </c>
    </row>
    <row r="158" spans="1:9" x14ac:dyDescent="0.55000000000000004">
      <c r="A158" s="40" t="s">
        <v>101</v>
      </c>
      <c r="B158" s="64"/>
      <c r="C158" s="12">
        <f>C156+(C154/2)</f>
        <v>58</v>
      </c>
      <c r="D158" s="9" t="s">
        <v>8</v>
      </c>
      <c r="F158" s="40" t="s">
        <v>101</v>
      </c>
      <c r="G158" s="64"/>
      <c r="H158" s="12">
        <f>H156+(H154/2)</f>
        <v>58</v>
      </c>
      <c r="I158" s="9" t="s">
        <v>8</v>
      </c>
    </row>
    <row r="159" spans="1:9" x14ac:dyDescent="0.55000000000000004">
      <c r="A159" s="15" t="s">
        <v>84</v>
      </c>
      <c r="B159" s="15"/>
      <c r="C159" s="31"/>
      <c r="D159" s="15"/>
      <c r="F159" s="15" t="s">
        <v>84</v>
      </c>
      <c r="G159" s="15"/>
      <c r="H159" s="31"/>
      <c r="I159" s="15"/>
    </row>
    <row r="160" spans="1:9" x14ac:dyDescent="0.55000000000000004">
      <c r="A160" s="40" t="s">
        <v>85</v>
      </c>
      <c r="B160" s="64"/>
      <c r="C160" s="32">
        <v>0.16800000000000001</v>
      </c>
      <c r="D160" s="2"/>
      <c r="F160" s="40" t="s">
        <v>85</v>
      </c>
      <c r="G160" s="64"/>
      <c r="H160" s="33">
        <v>0.16800000000000001</v>
      </c>
      <c r="I160" s="2"/>
    </row>
    <row r="161" spans="1:9" x14ac:dyDescent="0.55000000000000004">
      <c r="A161" s="40" t="s">
        <v>86</v>
      </c>
      <c r="B161" s="64"/>
      <c r="C161" s="21">
        <f>(C151*10^6)/(J38*10^3*C157^2)</f>
        <v>3.7177906438159408E-2</v>
      </c>
      <c r="D161" s="2"/>
      <c r="F161" s="40" t="s">
        <v>86</v>
      </c>
      <c r="G161" s="64"/>
      <c r="H161" s="21">
        <f>(H151*10^6)/(J38*10^3*H157^2)</f>
        <v>1.9675152933750738E-2</v>
      </c>
      <c r="I161" s="2"/>
    </row>
    <row r="162" spans="1:9" ht="16.5" x14ac:dyDescent="0.55000000000000004">
      <c r="A162" s="40" t="s">
        <v>87</v>
      </c>
      <c r="B162" s="64"/>
      <c r="C162" s="21">
        <f>MIN(C157*(0.5+SQRT(0.25-(0.882*C161))), 0.95*C157)</f>
        <v>419.9</v>
      </c>
      <c r="D162" s="9" t="s">
        <v>158</v>
      </c>
      <c r="F162" s="40" t="s">
        <v>87</v>
      </c>
      <c r="G162" s="64"/>
      <c r="H162" s="21">
        <f>MIN(H157*(0.5+SQRT(0.25-(0.882*H161))), 0.95*H157)</f>
        <v>419.9</v>
      </c>
      <c r="I162" s="9" t="s">
        <v>158</v>
      </c>
    </row>
    <row r="163" spans="1:9" ht="17.7" x14ac:dyDescent="0.75">
      <c r="A163" s="40" t="s">
        <v>155</v>
      </c>
      <c r="B163" s="64"/>
      <c r="C163" s="21">
        <f>C151*10^6/(0.87*J39*C162)</f>
        <v>969.86319895335669</v>
      </c>
      <c r="D163" s="9" t="s">
        <v>158</v>
      </c>
      <c r="F163" s="40" t="s">
        <v>155</v>
      </c>
      <c r="G163" s="64"/>
      <c r="H163" s="21">
        <f>H151*10^6/(0.87*J39*H162)</f>
        <v>513.26738357268096</v>
      </c>
      <c r="I163" s="9" t="s">
        <v>158</v>
      </c>
    </row>
    <row r="164" spans="1:9" ht="17.7" x14ac:dyDescent="0.75">
      <c r="A164" s="40" t="s">
        <v>156</v>
      </c>
      <c r="B164" s="64"/>
      <c r="C164" s="21">
        <f>0.15/100*1000*C157</f>
        <v>663</v>
      </c>
      <c r="D164" s="9" t="s">
        <v>158</v>
      </c>
      <c r="F164" s="40" t="s">
        <v>156</v>
      </c>
      <c r="G164" s="64"/>
      <c r="H164" s="21">
        <f>0.15/100*1000*C157</f>
        <v>663</v>
      </c>
      <c r="I164" s="9" t="s">
        <v>158</v>
      </c>
    </row>
    <row r="167" spans="1:9" x14ac:dyDescent="0.55000000000000004">
      <c r="A167" s="45" t="s">
        <v>103</v>
      </c>
      <c r="B167" s="45"/>
      <c r="C167" s="45"/>
      <c r="D167" s="45"/>
      <c r="E167" s="45"/>
      <c r="F167" s="45"/>
      <c r="G167" s="45"/>
      <c r="H167" s="45"/>
    </row>
    <row r="168" spans="1:9" x14ac:dyDescent="0.55000000000000004">
      <c r="A168" s="74" t="s">
        <v>76</v>
      </c>
      <c r="B168" s="74"/>
      <c r="C168" s="74"/>
      <c r="D168" s="74"/>
      <c r="E168" s="74"/>
      <c r="F168" s="74"/>
      <c r="G168" s="74"/>
      <c r="H168" s="74"/>
    </row>
    <row r="169" spans="1:9" x14ac:dyDescent="0.55000000000000004">
      <c r="A169" s="69" t="s">
        <v>104</v>
      </c>
      <c r="B169" s="70"/>
      <c r="C169" s="21">
        <f>((J107+(0.75*J106))*(D36/1000)/2) * (D34/1000)^2/2</f>
        <v>2502.8377355857683</v>
      </c>
      <c r="D169" s="9" t="s">
        <v>63</v>
      </c>
      <c r="E169" s="43" t="s">
        <v>78</v>
      </c>
      <c r="F169" s="43"/>
      <c r="G169" s="12">
        <v>50</v>
      </c>
      <c r="H169" s="9" t="s">
        <v>8</v>
      </c>
    </row>
    <row r="170" spans="1:9" x14ac:dyDescent="0.55000000000000004">
      <c r="A170" s="69" t="s">
        <v>140</v>
      </c>
      <c r="B170" s="70"/>
      <c r="C170" s="21">
        <f>((J107+(0.75*J106))*(D36/1000)/2) * (D34/1000-1)^2/2</f>
        <v>1838.8195608385238</v>
      </c>
      <c r="D170" s="9" t="s">
        <v>63</v>
      </c>
      <c r="E170" s="43" t="s">
        <v>79</v>
      </c>
      <c r="F170" s="43"/>
      <c r="G170" s="12">
        <v>50</v>
      </c>
      <c r="H170" s="9" t="s">
        <v>8</v>
      </c>
    </row>
    <row r="171" spans="1:9" x14ac:dyDescent="0.55000000000000004">
      <c r="A171" s="40" t="s">
        <v>142</v>
      </c>
      <c r="B171" s="64"/>
      <c r="C171" s="12">
        <f>D39</f>
        <v>3700</v>
      </c>
      <c r="D171" s="9" t="s">
        <v>8</v>
      </c>
      <c r="E171" s="43" t="s">
        <v>144</v>
      </c>
      <c r="F171" s="43"/>
      <c r="G171" s="12">
        <f>C171-(G169+C172+C172/2+C173)</f>
        <v>3610</v>
      </c>
      <c r="H171" s="9" t="s">
        <v>8</v>
      </c>
    </row>
    <row r="172" spans="1:9" x14ac:dyDescent="0.55000000000000004">
      <c r="A172" s="40" t="s">
        <v>81</v>
      </c>
      <c r="B172" s="64"/>
      <c r="C172" s="12">
        <v>20</v>
      </c>
      <c r="D172" s="9" t="s">
        <v>8</v>
      </c>
      <c r="E172" s="43" t="s">
        <v>145</v>
      </c>
      <c r="F172" s="43"/>
      <c r="G172" s="29">
        <f>G173-(G169+C172+C172/2+C173)</f>
        <v>3081.4285714285716</v>
      </c>
      <c r="H172" s="9" t="s">
        <v>8</v>
      </c>
    </row>
    <row r="173" spans="1:9" x14ac:dyDescent="0.55000000000000004">
      <c r="A173" s="40" t="s">
        <v>146</v>
      </c>
      <c r="B173" s="64"/>
      <c r="C173" s="12">
        <v>10</v>
      </c>
      <c r="D173" s="9" t="s">
        <v>8</v>
      </c>
      <c r="E173" s="40" t="s">
        <v>143</v>
      </c>
      <c r="F173" s="64"/>
      <c r="G173" s="29">
        <f>D39/D34*(D34-1000)</f>
        <v>3171.4285714285716</v>
      </c>
      <c r="H173" s="9" t="s">
        <v>8</v>
      </c>
    </row>
    <row r="174" spans="1:9" x14ac:dyDescent="0.55000000000000004">
      <c r="A174" s="40" t="s">
        <v>147</v>
      </c>
      <c r="B174" s="64"/>
      <c r="C174" s="12">
        <f>D37</f>
        <v>350</v>
      </c>
      <c r="D174" s="9" t="s">
        <v>8</v>
      </c>
      <c r="E174" s="9"/>
      <c r="F174" s="9"/>
      <c r="G174" s="9"/>
      <c r="H174" s="9"/>
    </row>
    <row r="175" spans="1:9" x14ac:dyDescent="0.55000000000000004">
      <c r="A175" s="37" t="s">
        <v>105</v>
      </c>
      <c r="B175" s="38"/>
      <c r="C175" s="38"/>
      <c r="D175" s="39"/>
      <c r="E175" s="37" t="s">
        <v>141</v>
      </c>
      <c r="F175" s="38"/>
      <c r="G175" s="38"/>
      <c r="H175" s="39"/>
    </row>
    <row r="176" spans="1:9" x14ac:dyDescent="0.55000000000000004">
      <c r="A176" s="40" t="s">
        <v>85</v>
      </c>
      <c r="B176" s="64"/>
      <c r="C176" s="26">
        <v>0.16800000000000001</v>
      </c>
      <c r="D176" s="14"/>
      <c r="E176" s="14"/>
      <c r="F176" s="14" t="s">
        <v>85</v>
      </c>
      <c r="G176" s="30">
        <v>0.17</v>
      </c>
      <c r="H176" s="14"/>
    </row>
    <row r="177" spans="1:9" x14ac:dyDescent="0.55000000000000004">
      <c r="A177" s="40" t="s">
        <v>86</v>
      </c>
      <c r="B177" s="64"/>
      <c r="C177" s="21">
        <f>(C169*10^6)/(J38*C174*G171^2)</f>
        <v>2.7435965649498087E-2</v>
      </c>
      <c r="D177" s="9"/>
      <c r="E177" s="9"/>
      <c r="F177" s="9" t="s">
        <v>86</v>
      </c>
      <c r="G177" s="28">
        <f>(C170*10^6)/(J38*C174*G172^2)</f>
        <v>2.7665394328842914E-2</v>
      </c>
      <c r="H177" s="9"/>
    </row>
    <row r="178" spans="1:9" x14ac:dyDescent="0.55000000000000004">
      <c r="A178" s="40" t="s">
        <v>87</v>
      </c>
      <c r="B178" s="64"/>
      <c r="C178" s="21">
        <f>MIN(G171*(0.5+SQRT(0.25-(0.882*C177))), 0.95*G171)</f>
        <v>3429.5</v>
      </c>
      <c r="D178" s="9" t="s">
        <v>8</v>
      </c>
      <c r="E178" s="9"/>
      <c r="F178" s="9" t="s">
        <v>87</v>
      </c>
      <c r="G178" s="12">
        <f>MIN(G172*(0.5+SQRT(0.25-(0.882*G177))), 0.95*G172)</f>
        <v>2927.3571428571427</v>
      </c>
      <c r="H178" s="9" t="s">
        <v>8</v>
      </c>
    </row>
    <row r="179" spans="1:9" ht="17.7" x14ac:dyDescent="0.75">
      <c r="A179" s="40" t="s">
        <v>155</v>
      </c>
      <c r="B179" s="64"/>
      <c r="C179" s="21">
        <f>C169*10^6/(0.87*J39*C178)</f>
        <v>2045.9677215493389</v>
      </c>
      <c r="D179" s="9" t="s">
        <v>150</v>
      </c>
      <c r="E179" s="9"/>
      <c r="F179" s="9" t="s">
        <v>157</v>
      </c>
      <c r="G179" s="12">
        <f>C170*10^6/(0.87*J39*G172)</f>
        <v>1672.9536183715777</v>
      </c>
      <c r="H179" s="9" t="s">
        <v>150</v>
      </c>
    </row>
    <row r="180" spans="1:9" ht="17.7" x14ac:dyDescent="0.75">
      <c r="A180" s="40" t="s">
        <v>156</v>
      </c>
      <c r="B180" s="64"/>
      <c r="C180" s="21">
        <f>0.15/100*C174*G171</f>
        <v>1895.25</v>
      </c>
      <c r="D180" s="9" t="s">
        <v>150</v>
      </c>
      <c r="E180" s="9"/>
      <c r="F180" s="9" t="s">
        <v>156</v>
      </c>
      <c r="G180" s="21">
        <f>0.15/100*C174*G171</f>
        <v>1895.25</v>
      </c>
      <c r="H180" s="9" t="s">
        <v>150</v>
      </c>
    </row>
    <row r="183" spans="1:9" x14ac:dyDescent="0.55000000000000004">
      <c r="A183" s="37" t="s">
        <v>106</v>
      </c>
      <c r="B183" s="38"/>
      <c r="C183" s="38"/>
      <c r="D183" s="38"/>
      <c r="E183" s="38"/>
      <c r="F183" s="38"/>
      <c r="G183" s="39"/>
      <c r="H183" s="18"/>
      <c r="I183" s="18"/>
    </row>
    <row r="184" spans="1:9" x14ac:dyDescent="0.55000000000000004">
      <c r="A184" s="40" t="s">
        <v>107</v>
      </c>
      <c r="B184" s="41"/>
      <c r="C184" s="41"/>
      <c r="D184" s="41"/>
      <c r="E184" s="41"/>
      <c r="F184" s="41"/>
      <c r="G184" s="64"/>
      <c r="H184" s="17"/>
    </row>
    <row r="185" spans="1:9" x14ac:dyDescent="0.55000000000000004">
      <c r="A185" s="42" t="s">
        <v>108</v>
      </c>
      <c r="B185" s="42"/>
      <c r="C185" s="42"/>
      <c r="D185" s="42" t="s">
        <v>110</v>
      </c>
      <c r="E185" s="42"/>
      <c r="F185" s="42"/>
      <c r="G185" s="42"/>
    </row>
    <row r="186" spans="1:9" ht="17.7" x14ac:dyDescent="0.75">
      <c r="A186" s="7" t="s">
        <v>151</v>
      </c>
      <c r="B186" s="26">
        <f>MAX(C145,C146)</f>
        <v>383.01145486548427</v>
      </c>
      <c r="C186" s="9"/>
      <c r="D186" s="43" t="s">
        <v>151</v>
      </c>
      <c r="E186" s="43"/>
      <c r="F186" s="28">
        <f>MAX(G145,G146)</f>
        <v>778.3781179524359</v>
      </c>
      <c r="G186" s="9"/>
    </row>
    <row r="187" spans="1:9" x14ac:dyDescent="0.55000000000000004">
      <c r="A187" s="7" t="s">
        <v>109</v>
      </c>
      <c r="B187" s="27">
        <f>C138</f>
        <v>12</v>
      </c>
      <c r="C187" s="9"/>
      <c r="D187" s="43" t="s">
        <v>109</v>
      </c>
      <c r="E187" s="43"/>
      <c r="F187" s="12">
        <f>C138</f>
        <v>12</v>
      </c>
      <c r="G187" s="9"/>
    </row>
    <row r="188" spans="1:9" x14ac:dyDescent="0.55000000000000004">
      <c r="A188" s="7" t="s">
        <v>113</v>
      </c>
      <c r="B188" s="27">
        <v>200</v>
      </c>
      <c r="C188" s="9"/>
      <c r="D188" s="43" t="s">
        <v>114</v>
      </c>
      <c r="E188" s="43"/>
      <c r="F188" s="12">
        <v>150</v>
      </c>
      <c r="G188" s="9"/>
    </row>
    <row r="189" spans="1:9" ht="17.7" x14ac:dyDescent="0.75">
      <c r="A189" s="7" t="s">
        <v>152</v>
      </c>
      <c r="B189" s="27">
        <f>PI()*B187*B187/4*1000/B188</f>
        <v>565.48667764616278</v>
      </c>
      <c r="C189" s="13" t="str">
        <f>IF(B186&lt;=B189,"PASS","FAIL")</f>
        <v>PASS</v>
      </c>
      <c r="D189" s="43" t="s">
        <v>152</v>
      </c>
      <c r="E189" s="43"/>
      <c r="F189" s="12">
        <f>PI()*F187^2/4*1000/F188</f>
        <v>753.9822368615504</v>
      </c>
      <c r="G189" s="13" t="str">
        <f>IF(F186&lt;=F189,"PASS","FAIL")</f>
        <v>FAIL</v>
      </c>
    </row>
    <row r="190" spans="1:9" x14ac:dyDescent="0.55000000000000004">
      <c r="A190" s="9"/>
      <c r="B190" s="9"/>
      <c r="C190" s="9"/>
      <c r="D190" s="9"/>
      <c r="E190" s="9"/>
      <c r="F190" s="9"/>
      <c r="G190" s="9"/>
    </row>
    <row r="191" spans="1:9" x14ac:dyDescent="0.55000000000000004">
      <c r="A191" s="9"/>
      <c r="B191" s="9"/>
      <c r="C191" s="9"/>
      <c r="D191" s="9"/>
      <c r="E191" s="9"/>
      <c r="F191" s="9"/>
      <c r="G191" s="9"/>
    </row>
    <row r="192" spans="1:9" x14ac:dyDescent="0.55000000000000004">
      <c r="A192" s="42" t="s">
        <v>111</v>
      </c>
      <c r="B192" s="42"/>
      <c r="C192" s="42"/>
      <c r="D192" s="42" t="s">
        <v>115</v>
      </c>
      <c r="E192" s="42"/>
      <c r="F192" s="42"/>
      <c r="G192" s="42"/>
    </row>
    <row r="193" spans="1:8" ht="17.7" x14ac:dyDescent="0.75">
      <c r="A193" s="7" t="s">
        <v>151</v>
      </c>
      <c r="B193" s="26">
        <f>MAX(C163,C164)</f>
        <v>969.86319895335669</v>
      </c>
      <c r="C193" s="9"/>
      <c r="D193" s="43" t="s">
        <v>151</v>
      </c>
      <c r="E193" s="43"/>
      <c r="F193" s="26">
        <f>MAX(H163,H164)</f>
        <v>663</v>
      </c>
      <c r="G193" s="9"/>
    </row>
    <row r="194" spans="1:8" x14ac:dyDescent="0.55000000000000004">
      <c r="A194" s="7" t="s">
        <v>112</v>
      </c>
      <c r="B194" s="27">
        <f>C153</f>
        <v>16</v>
      </c>
      <c r="C194" s="9"/>
      <c r="D194" s="43" t="s">
        <v>112</v>
      </c>
      <c r="E194" s="43"/>
      <c r="F194" s="27">
        <f>H153</f>
        <v>16</v>
      </c>
      <c r="G194" s="9"/>
    </row>
    <row r="195" spans="1:8" x14ac:dyDescent="0.55000000000000004">
      <c r="A195" s="7" t="s">
        <v>114</v>
      </c>
      <c r="B195" s="27">
        <v>200</v>
      </c>
      <c r="C195" s="9"/>
      <c r="D195" s="43" t="s">
        <v>114</v>
      </c>
      <c r="E195" s="43"/>
      <c r="F195" s="27">
        <v>200</v>
      </c>
      <c r="G195" s="9"/>
    </row>
    <row r="196" spans="1:8" ht="17.7" x14ac:dyDescent="0.75">
      <c r="A196" s="7" t="s">
        <v>152</v>
      </c>
      <c r="B196" s="27">
        <f>PI()*B194^2/4*1000/B195</f>
        <v>1005.3096491487337</v>
      </c>
      <c r="C196" s="13" t="str">
        <f>IF(B193&lt;=B196,"PASS","FAIL")</f>
        <v>PASS</v>
      </c>
      <c r="D196" s="43" t="s">
        <v>152</v>
      </c>
      <c r="E196" s="43"/>
      <c r="F196" s="27">
        <f>PI()*F194^2/4*1000/F195</f>
        <v>1005.3096491487337</v>
      </c>
      <c r="G196" s="13" t="str">
        <f>IF(F193&lt;=F196,"PASS","FAIL")</f>
        <v>PASS</v>
      </c>
    </row>
    <row r="197" spans="1:8" x14ac:dyDescent="0.55000000000000004">
      <c r="A197" s="9"/>
      <c r="B197" s="9"/>
      <c r="C197" s="9"/>
      <c r="D197" s="9"/>
      <c r="E197" s="9"/>
      <c r="F197" s="9"/>
      <c r="G197" s="9"/>
    </row>
    <row r="198" spans="1:8" x14ac:dyDescent="0.55000000000000004">
      <c r="A198" s="9"/>
      <c r="B198" s="9"/>
      <c r="C198" s="9"/>
      <c r="D198" s="9"/>
      <c r="E198" s="9"/>
      <c r="F198" s="9"/>
      <c r="G198" s="9"/>
    </row>
    <row r="199" spans="1:8" x14ac:dyDescent="0.55000000000000004">
      <c r="A199" s="71" t="s">
        <v>116</v>
      </c>
      <c r="B199" s="72"/>
      <c r="C199" s="72"/>
      <c r="D199" s="72"/>
      <c r="E199" s="72"/>
      <c r="F199" s="72"/>
      <c r="G199" s="73"/>
      <c r="H199" s="17"/>
    </row>
    <row r="200" spans="1:8" x14ac:dyDescent="0.55000000000000004">
      <c r="A200" s="42" t="s">
        <v>117</v>
      </c>
      <c r="B200" s="42"/>
      <c r="C200" s="42"/>
      <c r="D200" s="42" t="s">
        <v>118</v>
      </c>
      <c r="E200" s="42"/>
      <c r="F200" s="42"/>
      <c r="G200" s="42"/>
    </row>
    <row r="201" spans="1:8" ht="17.7" x14ac:dyDescent="0.75">
      <c r="A201" s="7" t="s">
        <v>153</v>
      </c>
      <c r="B201" s="26">
        <f>MAX(C179,C180)</f>
        <v>2045.9677215493389</v>
      </c>
      <c r="C201" s="9"/>
      <c r="D201" s="43" t="s">
        <v>149</v>
      </c>
      <c r="E201" s="43"/>
      <c r="F201" s="21">
        <f>MAX(G179,G180)</f>
        <v>1895.25</v>
      </c>
      <c r="G201" s="9"/>
    </row>
    <row r="202" spans="1:8" x14ac:dyDescent="0.55000000000000004">
      <c r="A202" s="7" t="s">
        <v>109</v>
      </c>
      <c r="B202" s="27">
        <f>C172</f>
        <v>20</v>
      </c>
      <c r="C202" s="9"/>
      <c r="D202" s="43" t="s">
        <v>109</v>
      </c>
      <c r="E202" s="43"/>
      <c r="F202" s="12">
        <f>C172</f>
        <v>20</v>
      </c>
      <c r="G202" s="9"/>
    </row>
    <row r="203" spans="1:8" x14ac:dyDescent="0.55000000000000004">
      <c r="A203" s="7" t="s">
        <v>148</v>
      </c>
      <c r="B203" s="27">
        <v>7</v>
      </c>
      <c r="C203" s="9"/>
      <c r="D203" s="43" t="s">
        <v>148</v>
      </c>
      <c r="E203" s="43"/>
      <c r="F203" s="12">
        <v>7</v>
      </c>
      <c r="G203" s="9"/>
    </row>
    <row r="204" spans="1:8" ht="17.7" x14ac:dyDescent="0.75">
      <c r="A204" s="7" t="s">
        <v>154</v>
      </c>
      <c r="B204" s="27">
        <f>PI()*B202^2/4*B203</f>
        <v>2199.1148575128555</v>
      </c>
      <c r="C204" s="13" t="str">
        <f>IF(B201&lt;=B204,"PASS","FAIL")</f>
        <v>PASS</v>
      </c>
      <c r="D204" s="43" t="s">
        <v>154</v>
      </c>
      <c r="E204" s="43"/>
      <c r="F204" s="21">
        <f>PI()*F202^2/4*F203</f>
        <v>2199.1148575128555</v>
      </c>
      <c r="G204" s="13" t="str">
        <f>IF(F201&lt;=F204,"PASS","FAIL")</f>
        <v>PASS</v>
      </c>
    </row>
  </sheetData>
  <sheetProtection algorithmName="SHA-512" hashValue="pYpHAAwUbDs630qw6Cy6sTdIROAwWwdb1fu5r3cWb8AYqo5TzlwsE2Mlv1OMNcp4/EfVIbG5KC82ubEFQjp/JQ==" saltValue="AqB/eIeldRIQlXZOYgN0tw==" spinCount="100000" sheet="1" objects="1" scenarios="1"/>
  <mergeCells count="173">
    <mergeCell ref="A174:B174"/>
    <mergeCell ref="A168:H168"/>
    <mergeCell ref="E169:F169"/>
    <mergeCell ref="A180:B180"/>
    <mergeCell ref="A169:B169"/>
    <mergeCell ref="A170:B170"/>
    <mergeCell ref="D203:E203"/>
    <mergeCell ref="A178:B178"/>
    <mergeCell ref="A179:B179"/>
    <mergeCell ref="A176:B176"/>
    <mergeCell ref="A175:D175"/>
    <mergeCell ref="A171:B171"/>
    <mergeCell ref="A172:B172"/>
    <mergeCell ref="A173:B173"/>
    <mergeCell ref="A177:B177"/>
    <mergeCell ref="E170:F170"/>
    <mergeCell ref="E171:F171"/>
    <mergeCell ref="E172:F172"/>
    <mergeCell ref="E173:F173"/>
    <mergeCell ref="E175:H175"/>
    <mergeCell ref="D204:E204"/>
    <mergeCell ref="A183:G183"/>
    <mergeCell ref="A184:G184"/>
    <mergeCell ref="A199:G199"/>
    <mergeCell ref="A200:C200"/>
    <mergeCell ref="D200:G200"/>
    <mergeCell ref="D201:E201"/>
    <mergeCell ref="D202:E202"/>
    <mergeCell ref="D186:E186"/>
    <mergeCell ref="A185:C185"/>
    <mergeCell ref="D185:G185"/>
    <mergeCell ref="A192:C192"/>
    <mergeCell ref="D192:G192"/>
    <mergeCell ref="D193:E193"/>
    <mergeCell ref="D194:E194"/>
    <mergeCell ref="D195:E195"/>
    <mergeCell ref="D196:E196"/>
    <mergeCell ref="D187:E187"/>
    <mergeCell ref="D188:E188"/>
    <mergeCell ref="D189:E189"/>
    <mergeCell ref="F164:G164"/>
    <mergeCell ref="A167:H167"/>
    <mergeCell ref="F149:I149"/>
    <mergeCell ref="F150:I150"/>
    <mergeCell ref="F151:G151"/>
    <mergeCell ref="F152:G152"/>
    <mergeCell ref="F153:G153"/>
    <mergeCell ref="F154:G154"/>
    <mergeCell ref="F155:G155"/>
    <mergeCell ref="F156:G156"/>
    <mergeCell ref="F157:G157"/>
    <mergeCell ref="F158:G158"/>
    <mergeCell ref="F160:G160"/>
    <mergeCell ref="F161:G161"/>
    <mergeCell ref="F162:G162"/>
    <mergeCell ref="A163:B163"/>
    <mergeCell ref="F163:G163"/>
    <mergeCell ref="A153:B153"/>
    <mergeCell ref="A154:B154"/>
    <mergeCell ref="A158:B158"/>
    <mergeCell ref="A149:D149"/>
    <mergeCell ref="A150:D150"/>
    <mergeCell ref="A164:B164"/>
    <mergeCell ref="A160:B160"/>
    <mergeCell ref="A161:B161"/>
    <mergeCell ref="A162:B162"/>
    <mergeCell ref="A142:B142"/>
    <mergeCell ref="A143:B143"/>
    <mergeCell ref="A144:B144"/>
    <mergeCell ref="A151:B151"/>
    <mergeCell ref="A152:B152"/>
    <mergeCell ref="A145:B145"/>
    <mergeCell ref="A146:B146"/>
    <mergeCell ref="A155:B155"/>
    <mergeCell ref="A156:B156"/>
    <mergeCell ref="A157:B157"/>
    <mergeCell ref="A137:B137"/>
    <mergeCell ref="E137:F137"/>
    <mergeCell ref="A138:B138"/>
    <mergeCell ref="E138:F138"/>
    <mergeCell ref="A139:B139"/>
    <mergeCell ref="E139:F139"/>
    <mergeCell ref="E141:H141"/>
    <mergeCell ref="A141:D141"/>
    <mergeCell ref="A135:B135"/>
    <mergeCell ref="E135:F135"/>
    <mergeCell ref="A136:B136"/>
    <mergeCell ref="E136:F136"/>
    <mergeCell ref="A49:D49"/>
    <mergeCell ref="D7:E7"/>
    <mergeCell ref="G7:H7"/>
    <mergeCell ref="D70:G70"/>
    <mergeCell ref="D71:G71"/>
    <mergeCell ref="A65:D65"/>
    <mergeCell ref="A66:D66"/>
    <mergeCell ref="A75:D75"/>
    <mergeCell ref="F75:I75"/>
    <mergeCell ref="A74:D74"/>
    <mergeCell ref="A36:C36"/>
    <mergeCell ref="G33:K33"/>
    <mergeCell ref="G34:I34"/>
    <mergeCell ref="G35:I35"/>
    <mergeCell ref="G36:I36"/>
    <mergeCell ref="A37:C37"/>
    <mergeCell ref="A38:C38"/>
    <mergeCell ref="A39:C39"/>
    <mergeCell ref="A40:C40"/>
    <mergeCell ref="F74:I74"/>
    <mergeCell ref="A64:D64"/>
    <mergeCell ref="A42:C42"/>
    <mergeCell ref="D69:I69"/>
    <mergeCell ref="J1:K2"/>
    <mergeCell ref="G37:I37"/>
    <mergeCell ref="G38:I38"/>
    <mergeCell ref="A60:D60"/>
    <mergeCell ref="A61:D61"/>
    <mergeCell ref="A62:D62"/>
    <mergeCell ref="A63:D63"/>
    <mergeCell ref="A48:G48"/>
    <mergeCell ref="G40:K40"/>
    <mergeCell ref="G43:H43"/>
    <mergeCell ref="J43:K43"/>
    <mergeCell ref="A59:D59"/>
    <mergeCell ref="A53:D53"/>
    <mergeCell ref="A54:D54"/>
    <mergeCell ref="A55:D55"/>
    <mergeCell ref="A56:D56"/>
    <mergeCell ref="A57:D57"/>
    <mergeCell ref="A58:D58"/>
    <mergeCell ref="A52:D52"/>
    <mergeCell ref="A51:D51"/>
    <mergeCell ref="A50:D50"/>
    <mergeCell ref="G39:I39"/>
    <mergeCell ref="A44:E44"/>
    <mergeCell ref="A45:C45"/>
    <mergeCell ref="G46:I46"/>
    <mergeCell ref="I5:K7"/>
    <mergeCell ref="J3:K4"/>
    <mergeCell ref="A33:E33"/>
    <mergeCell ref="A34:C34"/>
    <mergeCell ref="A35:C35"/>
    <mergeCell ref="A1:C7"/>
    <mergeCell ref="D1:H2"/>
    <mergeCell ref="D3:H4"/>
    <mergeCell ref="D5:E5"/>
    <mergeCell ref="G5:H5"/>
    <mergeCell ref="D6:E6"/>
    <mergeCell ref="G6:H6"/>
    <mergeCell ref="D9:H9"/>
    <mergeCell ref="A41:C41"/>
    <mergeCell ref="B126:E126"/>
    <mergeCell ref="F126:J126"/>
    <mergeCell ref="B127:E127"/>
    <mergeCell ref="B128:E128"/>
    <mergeCell ref="B129:E129"/>
    <mergeCell ref="A133:D133"/>
    <mergeCell ref="E133:F133"/>
    <mergeCell ref="A134:B134"/>
    <mergeCell ref="A83:D83"/>
    <mergeCell ref="A87:B87"/>
    <mergeCell ref="E100:F100"/>
    <mergeCell ref="E101:F101"/>
    <mergeCell ref="E102:G102"/>
    <mergeCell ref="A132:H132"/>
    <mergeCell ref="A90:I90"/>
    <mergeCell ref="A91:D91"/>
    <mergeCell ref="A99:D99"/>
    <mergeCell ref="F91:I91"/>
    <mergeCell ref="E99:F99"/>
    <mergeCell ref="B104:G104"/>
    <mergeCell ref="I105:K105"/>
    <mergeCell ref="F83:I83"/>
    <mergeCell ref="F87:G87"/>
  </mergeCells>
  <pageMargins left="0.7" right="0.7" top="0.75" bottom="0.75" header="0.3" footer="0.3"/>
  <pageSetup paperSize="9" scale="71" fitToHeight="0" orientation="portrait" verticalDpi="0" r:id="rId1"/>
  <rowBreaks count="1" manualBreakCount="1">
    <brk id="102" max="16383" man="1"/>
  </rowBreaks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Victor</cp:lastModifiedBy>
  <cp:lastPrinted>2023-08-08T06:55:40Z</cp:lastPrinted>
  <dcterms:created xsi:type="dcterms:W3CDTF">2023-08-06T07:34:50Z</dcterms:created>
  <dcterms:modified xsi:type="dcterms:W3CDTF">2023-08-08T06:56:22Z</dcterms:modified>
</cp:coreProperties>
</file>